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schleders/Desktop/"/>
    </mc:Choice>
  </mc:AlternateContent>
  <xr:revisionPtr revIDLastSave="0" documentId="8_{5998C60D-8936-3842-AF4A-9CD445A82BE8}" xr6:coauthVersionLast="47" xr6:coauthVersionMax="47" xr10:uidLastSave="{00000000-0000-0000-0000-000000000000}"/>
  <bookViews>
    <workbookView xWindow="0" yWindow="500" windowWidth="19420" windowHeight="11500" xr2:uid="{E1CA15A7-8CDC-4355-A76C-D1177F32E528}"/>
  </bookViews>
  <sheets>
    <sheet name="Fleer" sheetId="1" r:id="rId1"/>
    <sheet name="Fleer 23kt Gold" sheetId="2" r:id="rId2"/>
    <sheet name="DropDown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7" i="1" l="1"/>
  <c r="BT18" i="1" s="1"/>
  <c r="BT19" i="1" s="1"/>
  <c r="BT20" i="1" s="1"/>
  <c r="BT21" i="1" s="1"/>
  <c r="BT22" i="1" s="1"/>
  <c r="BT23" i="1" s="1"/>
  <c r="CK10" i="2"/>
  <c r="CK11" i="2" s="1"/>
  <c r="DG9" i="2"/>
  <c r="CK9" i="2"/>
  <c r="CK5" i="2" s="1"/>
  <c r="BZ9" i="2"/>
  <c r="BZ10" i="2" s="1"/>
  <c r="BZ5" i="2" s="1"/>
  <c r="BO9" i="2"/>
  <c r="AS9" i="2"/>
  <c r="AS10" i="2" s="1"/>
  <c r="AS11" i="2" s="1"/>
  <c r="AS12" i="2" s="1"/>
  <c r="AH9" i="2"/>
  <c r="AH10" i="2" s="1"/>
  <c r="W9" i="2"/>
  <c r="W10" i="2" s="1"/>
  <c r="DG8" i="2"/>
  <c r="CV8" i="2"/>
  <c r="CK8" i="2"/>
  <c r="BZ8" i="2"/>
  <c r="BO8" i="2"/>
  <c r="BD8" i="2"/>
  <c r="BD5" i="2" s="1"/>
  <c r="AS8" i="2"/>
  <c r="AS5" i="2" s="1"/>
  <c r="AH8" i="2"/>
  <c r="W8" i="2"/>
  <c r="L8" i="2"/>
  <c r="L5" i="2" s="1"/>
  <c r="L1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DL6" i="2"/>
  <c r="DI6" i="2"/>
  <c r="DH6" i="2"/>
  <c r="DG1" i="2" s="1"/>
  <c r="DA6" i="2"/>
  <c r="CX6" i="2"/>
  <c r="CW6" i="2"/>
  <c r="CV1" i="2" s="1"/>
  <c r="CP6" i="2"/>
  <c r="CM6" i="2"/>
  <c r="CL6" i="2"/>
  <c r="CE6" i="2"/>
  <c r="CB6" i="2"/>
  <c r="CA6" i="2"/>
  <c r="BT6" i="2"/>
  <c r="BQ6" i="2"/>
  <c r="BP6" i="2"/>
  <c r="BI6" i="2"/>
  <c r="BF6" i="2"/>
  <c r="BE6" i="2"/>
  <c r="AX6" i="2"/>
  <c r="AU6" i="2"/>
  <c r="AT6" i="2"/>
  <c r="AM6" i="2"/>
  <c r="F3" i="2" s="1"/>
  <c r="AJ6" i="2"/>
  <c r="G1" i="2" s="1"/>
  <c r="AI6" i="2"/>
  <c r="AB6" i="2"/>
  <c r="Y6" i="2"/>
  <c r="X6" i="2"/>
  <c r="Q6" i="2"/>
  <c r="N6" i="2"/>
  <c r="M6" i="2"/>
  <c r="F6" i="2"/>
  <c r="C6" i="2"/>
  <c r="B6" i="2"/>
  <c r="DL5" i="2"/>
  <c r="DI5" i="2"/>
  <c r="DG5" i="2"/>
  <c r="DA5" i="2"/>
  <c r="CX5" i="2"/>
  <c r="CV5" i="2"/>
  <c r="CP5" i="2"/>
  <c r="CM5" i="2"/>
  <c r="CE5" i="2"/>
  <c r="CB5" i="2"/>
  <c r="BT5" i="2"/>
  <c r="BQ5" i="2"/>
  <c r="BO5" i="2"/>
  <c r="BI5" i="2"/>
  <c r="BF5" i="2"/>
  <c r="AX5" i="2"/>
  <c r="AU5" i="2"/>
  <c r="AM5" i="2"/>
  <c r="AJ5" i="2"/>
  <c r="AB5" i="2"/>
  <c r="Y5" i="2"/>
  <c r="Q5" i="2"/>
  <c r="N5" i="2"/>
  <c r="F5" i="2"/>
  <c r="C5" i="2"/>
  <c r="IM24" i="1"/>
  <c r="KI23" i="1"/>
  <c r="IM23" i="1"/>
  <c r="KI22" i="1"/>
  <c r="IM22" i="1"/>
  <c r="KI21" i="1"/>
  <c r="IM21" i="1"/>
  <c r="KI20" i="1"/>
  <c r="IM20" i="1"/>
  <c r="KI19" i="1"/>
  <c r="IM19" i="1"/>
  <c r="KI18" i="1"/>
  <c r="JW18" i="1"/>
  <c r="IM18" i="1"/>
  <c r="CM18" i="1"/>
  <c r="JW17" i="1"/>
  <c r="IM17" i="1"/>
  <c r="CM17" i="1"/>
  <c r="KI16" i="1"/>
  <c r="JW16" i="1"/>
  <c r="JK16" i="1"/>
  <c r="IM16" i="1"/>
  <c r="GE16" i="1"/>
  <c r="CM16" i="1"/>
  <c r="KI15" i="1"/>
  <c r="JW15" i="1"/>
  <c r="JK15" i="1"/>
  <c r="IM15" i="1"/>
  <c r="GE15" i="1"/>
  <c r="KI14" i="1"/>
  <c r="JW14" i="1"/>
  <c r="JK14" i="1"/>
  <c r="IM14" i="1"/>
  <c r="IA14" i="1"/>
  <c r="GE14" i="1"/>
  <c r="KI13" i="1"/>
  <c r="JW13" i="1"/>
  <c r="JK13" i="1"/>
  <c r="IY13" i="1"/>
  <c r="IA13" i="1"/>
  <c r="HO13" i="1"/>
  <c r="GE13" i="1"/>
  <c r="FS13" i="1"/>
  <c r="FL13" i="1"/>
  <c r="DW13" i="1"/>
  <c r="LG12" i="1"/>
  <c r="KI12" i="1"/>
  <c r="JW12" i="1"/>
  <c r="JK12" i="1"/>
  <c r="IY12" i="1"/>
  <c r="IM12" i="1"/>
  <c r="IA12" i="1"/>
  <c r="HO12" i="1"/>
  <c r="GE12" i="1"/>
  <c r="FS12" i="1"/>
  <c r="DW12" i="1"/>
  <c r="DK12" i="1"/>
  <c r="LS11" i="1"/>
  <c r="LG11" i="1"/>
  <c r="KU11" i="1"/>
  <c r="KI11" i="1"/>
  <c r="JW11" i="1"/>
  <c r="JK11" i="1"/>
  <c r="IM11" i="1"/>
  <c r="IF11" i="1"/>
  <c r="IF12" i="1" s="1"/>
  <c r="IF13" i="1" s="1"/>
  <c r="IF14" i="1" s="1"/>
  <c r="IF15" i="1" s="1"/>
  <c r="IF16" i="1" s="1"/>
  <c r="IF17" i="1" s="1"/>
  <c r="IF18" i="1" s="1"/>
  <c r="IF19" i="1" s="1"/>
  <c r="IF20" i="1" s="1"/>
  <c r="IF21" i="1" s="1"/>
  <c r="IF22" i="1" s="1"/>
  <c r="IF23" i="1" s="1"/>
  <c r="IF24" i="1" s="1"/>
  <c r="IA11" i="1"/>
  <c r="HO11" i="1"/>
  <c r="HC11" i="1"/>
  <c r="GE11" i="1"/>
  <c r="FS11" i="1"/>
  <c r="FL11" i="1"/>
  <c r="FL12" i="1" s="1"/>
  <c r="DW11" i="1"/>
  <c r="DP11" i="1"/>
  <c r="DK11" i="1"/>
  <c r="CY11" i="1"/>
  <c r="LS10" i="1"/>
  <c r="LG10" i="1"/>
  <c r="KZ10" i="1"/>
  <c r="KZ11" i="1" s="1"/>
  <c r="KZ12" i="1" s="1"/>
  <c r="KN10" i="1"/>
  <c r="KN11" i="1" s="1"/>
  <c r="KN12" i="1" s="1"/>
  <c r="KN13" i="1" s="1"/>
  <c r="KN14" i="1" s="1"/>
  <c r="JW10" i="1"/>
  <c r="JK10" i="1"/>
  <c r="IY10" i="1"/>
  <c r="IF10" i="1"/>
  <c r="IA10" i="1"/>
  <c r="HT10" i="1"/>
  <c r="HT11" i="1" s="1"/>
  <c r="HT12" i="1" s="1"/>
  <c r="HT13" i="1" s="1"/>
  <c r="HT14" i="1" s="1"/>
  <c r="HO10" i="1"/>
  <c r="HH10" i="1"/>
  <c r="HC10" i="1"/>
  <c r="GE10" i="1"/>
  <c r="FS10" i="1"/>
  <c r="FL10" i="1"/>
  <c r="DW10" i="1"/>
  <c r="DP10" i="1"/>
  <c r="DK10" i="1"/>
  <c r="DD10" i="1"/>
  <c r="DD11" i="1" s="1"/>
  <c r="DD12" i="1" s="1"/>
  <c r="CY10" i="1"/>
  <c r="CR10" i="1"/>
  <c r="CR11" i="1" s="1"/>
  <c r="LS9" i="1"/>
  <c r="LG9" i="1"/>
  <c r="KZ9" i="1"/>
  <c r="KU9" i="1"/>
  <c r="KN9" i="1"/>
  <c r="KI9" i="1"/>
  <c r="KB9" i="1"/>
  <c r="KB10" i="1" s="1"/>
  <c r="KB11" i="1" s="1"/>
  <c r="KB12" i="1" s="1"/>
  <c r="KB13" i="1" s="1"/>
  <c r="KB14" i="1" s="1"/>
  <c r="KB15" i="1" s="1"/>
  <c r="KB16" i="1" s="1"/>
  <c r="KB17" i="1" s="1"/>
  <c r="KB18" i="1" s="1"/>
  <c r="KB19" i="1" s="1"/>
  <c r="KB20" i="1" s="1"/>
  <c r="KB21" i="1" s="1"/>
  <c r="KB22" i="1" s="1"/>
  <c r="KB23" i="1" s="1"/>
  <c r="JW9" i="1"/>
  <c r="IY9" i="1"/>
  <c r="IM9" i="1"/>
  <c r="IF9" i="1"/>
  <c r="HT9" i="1"/>
  <c r="HT5" i="1" s="1"/>
  <c r="HH9" i="1"/>
  <c r="HC9" i="1"/>
  <c r="GV9" i="1"/>
  <c r="GV10" i="1" s="1"/>
  <c r="GV11" i="1" s="1"/>
  <c r="GQ9" i="1"/>
  <c r="GJ9" i="1"/>
  <c r="GE9" i="1"/>
  <c r="FS9" i="1"/>
  <c r="FL9" i="1"/>
  <c r="DW9" i="1"/>
  <c r="DP9" i="1"/>
  <c r="DK9" i="1"/>
  <c r="DD9" i="1"/>
  <c r="CR9" i="1"/>
  <c r="CF9" i="1"/>
  <c r="CF10" i="1" s="1"/>
  <c r="CF11" i="1" s="1"/>
  <c r="CF12" i="1" s="1"/>
  <c r="CF13" i="1" s="1"/>
  <c r="CF14" i="1" s="1"/>
  <c r="CF15" i="1" s="1"/>
  <c r="CF16" i="1" s="1"/>
  <c r="CF17" i="1" s="1"/>
  <c r="CF18" i="1" s="1"/>
  <c r="BT9" i="1"/>
  <c r="BT10" i="1" s="1"/>
  <c r="BT11" i="1" s="1"/>
  <c r="BT12" i="1" s="1"/>
  <c r="BT13" i="1" s="1"/>
  <c r="BT14" i="1" s="1"/>
  <c r="BT15" i="1" s="1"/>
  <c r="BT16" i="1" s="1"/>
  <c r="BH9" i="1"/>
  <c r="BH5" i="1" s="1"/>
  <c r="BH1" i="1" s="1"/>
  <c r="LS8" i="1"/>
  <c r="LL8" i="1"/>
  <c r="LL9" i="1" s="1"/>
  <c r="LG8" i="1"/>
  <c r="KZ8" i="1"/>
  <c r="KN8" i="1"/>
  <c r="KI8" i="1"/>
  <c r="KB8" i="1"/>
  <c r="JW8" i="1"/>
  <c r="JP8" i="1"/>
  <c r="JP9" i="1" s="1"/>
  <c r="JP10" i="1" s="1"/>
  <c r="JP11" i="1" s="1"/>
  <c r="JP12" i="1" s="1"/>
  <c r="JP13" i="1" s="1"/>
  <c r="JP14" i="1" s="1"/>
  <c r="JP15" i="1" s="1"/>
  <c r="JP16" i="1" s="1"/>
  <c r="JP17" i="1" s="1"/>
  <c r="JP18" i="1" s="1"/>
  <c r="JD8" i="1"/>
  <c r="IY8" i="1"/>
  <c r="IR8" i="1"/>
  <c r="IR9" i="1" s="1"/>
  <c r="IR10" i="1" s="1"/>
  <c r="IR11" i="1" s="1"/>
  <c r="IR12" i="1" s="1"/>
  <c r="IR13" i="1" s="1"/>
  <c r="IM8" i="1"/>
  <c r="IF8" i="1"/>
  <c r="HT8" i="1"/>
  <c r="HO8" i="1"/>
  <c r="HH8" i="1"/>
  <c r="GV8" i="1"/>
  <c r="GQ8" i="1"/>
  <c r="GJ8" i="1"/>
  <c r="GE8" i="1"/>
  <c r="FX8" i="1"/>
  <c r="FL8" i="1"/>
  <c r="EN8" i="1"/>
  <c r="EN5" i="1" s="1"/>
  <c r="DW8" i="1"/>
  <c r="DP8" i="1"/>
  <c r="DD8" i="1"/>
  <c r="CR8" i="1"/>
  <c r="CF8" i="1"/>
  <c r="BT8" i="1"/>
  <c r="BH8" i="1"/>
  <c r="AV8" i="1"/>
  <c r="AV5" i="1" s="1"/>
  <c r="AJ8" i="1"/>
  <c r="AJ9" i="1" s="1"/>
  <c r="X8" i="1"/>
  <c r="X5" i="1" s="1"/>
  <c r="X1" i="1" s="1"/>
  <c r="L8" i="1"/>
  <c r="IY7" i="1"/>
  <c r="LQ6" i="1"/>
  <c r="LN6" i="1"/>
  <c r="LM6" i="1"/>
  <c r="LE6" i="1"/>
  <c r="LB6" i="1"/>
  <c r="LA6" i="1"/>
  <c r="KS6" i="1"/>
  <c r="KP6" i="1"/>
  <c r="KO6" i="1"/>
  <c r="KG6" i="1"/>
  <c r="KD6" i="1"/>
  <c r="KC6" i="1"/>
  <c r="JU6" i="1"/>
  <c r="JR6" i="1"/>
  <c r="JQ6" i="1"/>
  <c r="JI6" i="1"/>
  <c r="JF6" i="1"/>
  <c r="JE6" i="1"/>
  <c r="IW6" i="1"/>
  <c r="IT6" i="1"/>
  <c r="IS6" i="1"/>
  <c r="IK6" i="1"/>
  <c r="IH6" i="1"/>
  <c r="IG6" i="1"/>
  <c r="HY6" i="1"/>
  <c r="HV6" i="1"/>
  <c r="HU6" i="1"/>
  <c r="HM6" i="1"/>
  <c r="HJ6" i="1"/>
  <c r="HI6" i="1"/>
  <c r="HA6" i="1"/>
  <c r="GX6" i="1"/>
  <c r="GW6" i="1"/>
  <c r="GO6" i="1"/>
  <c r="GL6" i="1"/>
  <c r="GK6" i="1"/>
  <c r="GC6" i="1"/>
  <c r="FZ6" i="1"/>
  <c r="FY6" i="1"/>
  <c r="FQ6" i="1"/>
  <c r="FN6" i="1"/>
  <c r="FM6" i="1"/>
  <c r="FE6" i="1"/>
  <c r="FB6" i="1"/>
  <c r="FA6" i="1"/>
  <c r="ES6" i="1"/>
  <c r="EP6" i="1"/>
  <c r="EO6" i="1"/>
  <c r="EG6" i="1"/>
  <c r="ED6" i="1"/>
  <c r="EC6" i="1"/>
  <c r="DU6" i="1"/>
  <c r="DR6" i="1"/>
  <c r="DQ6" i="1"/>
  <c r="DI6" i="1"/>
  <c r="DF6" i="1"/>
  <c r="DE6" i="1"/>
  <c r="CW6" i="1"/>
  <c r="CT6" i="1"/>
  <c r="CS6" i="1"/>
  <c r="CK6" i="1"/>
  <c r="CH6" i="1"/>
  <c r="CG6" i="1"/>
  <c r="BY6" i="1"/>
  <c r="BV6" i="1"/>
  <c r="BU6" i="1"/>
  <c r="BM6" i="1"/>
  <c r="BJ6" i="1"/>
  <c r="BI6" i="1"/>
  <c r="BA6" i="1"/>
  <c r="AX6" i="1"/>
  <c r="AW6" i="1"/>
  <c r="AO6" i="1"/>
  <c r="AL6" i="1"/>
  <c r="AK6" i="1"/>
  <c r="AC6" i="1"/>
  <c r="Z6" i="1"/>
  <c r="Y6" i="1"/>
  <c r="Q6" i="1"/>
  <c r="N6" i="1"/>
  <c r="M6" i="1"/>
  <c r="F6" i="1"/>
  <c r="C6" i="1"/>
  <c r="G1" i="1" s="1"/>
  <c r="B6" i="1"/>
  <c r="LQ5" i="1"/>
  <c r="LN5" i="1"/>
  <c r="LE5" i="1"/>
  <c r="LB5" i="1"/>
  <c r="KS5" i="1"/>
  <c r="KP5" i="1"/>
  <c r="KG5" i="1"/>
  <c r="KD5" i="1"/>
  <c r="JU5" i="1"/>
  <c r="JR5" i="1"/>
  <c r="JI5" i="1"/>
  <c r="JF5" i="1"/>
  <c r="IW5" i="1"/>
  <c r="IT5" i="1"/>
  <c r="IK5" i="1"/>
  <c r="IH5" i="1"/>
  <c r="HY5" i="1"/>
  <c r="HV5" i="1"/>
  <c r="HM5" i="1"/>
  <c r="HJ5" i="1"/>
  <c r="HA5" i="1"/>
  <c r="GX5" i="1"/>
  <c r="GV5" i="1"/>
  <c r="GV1" i="1" s="1"/>
  <c r="GO5" i="1"/>
  <c r="GL5" i="1"/>
  <c r="GC5" i="1"/>
  <c r="FZ5" i="1"/>
  <c r="FQ5" i="1"/>
  <c r="FN5" i="1"/>
  <c r="FE5" i="1"/>
  <c r="FB5" i="1"/>
  <c r="EZ5" i="1"/>
  <c r="ES5" i="1"/>
  <c r="EP5" i="1"/>
  <c r="EG5" i="1"/>
  <c r="ED5" i="1"/>
  <c r="EB5" i="1"/>
  <c r="EB1" i="1" s="1"/>
  <c r="DU5" i="1"/>
  <c r="DR5" i="1"/>
  <c r="DI5" i="1"/>
  <c r="DF5" i="1"/>
  <c r="DD5" i="1"/>
  <c r="CW5" i="1"/>
  <c r="CT5" i="1"/>
  <c r="CK5" i="1"/>
  <c r="CH5" i="1"/>
  <c r="BY5" i="1"/>
  <c r="BV5" i="1"/>
  <c r="BM5" i="1"/>
  <c r="BJ5" i="1"/>
  <c r="BA5" i="1"/>
  <c r="AX5" i="1"/>
  <c r="AO5" i="1"/>
  <c r="AL5" i="1"/>
  <c r="AC5" i="1"/>
  <c r="Z5" i="1"/>
  <c r="Q5" i="1"/>
  <c r="N5" i="1"/>
  <c r="L5" i="1"/>
  <c r="L1" i="1" s="1"/>
  <c r="F5" i="1"/>
  <c r="C5" i="1"/>
  <c r="HT1" i="1" l="1"/>
  <c r="EZ1" i="1"/>
  <c r="D3" i="1"/>
  <c r="EN1" i="1"/>
  <c r="AV1" i="1"/>
  <c r="G2" i="1"/>
  <c r="G3" i="1"/>
  <c r="CK1" i="2"/>
  <c r="BZ1" i="2"/>
  <c r="BO1" i="2"/>
  <c r="BD1" i="2"/>
  <c r="AS1" i="2"/>
  <c r="G2" i="2"/>
  <c r="G3" i="2"/>
  <c r="FX9" i="1"/>
  <c r="FX10" i="1" s="1"/>
  <c r="FX11" i="1" s="1"/>
  <c r="FX12" i="1" s="1"/>
  <c r="FX13" i="1" s="1"/>
  <c r="FX14" i="1" s="1"/>
  <c r="FX15" i="1" s="1"/>
  <c r="FX16" i="1" s="1"/>
  <c r="FX5" i="1"/>
  <c r="FX1" i="1" s="1"/>
  <c r="JD9" i="1"/>
  <c r="JD10" i="1" s="1"/>
  <c r="JD11" i="1" s="1"/>
  <c r="JD12" i="1" s="1"/>
  <c r="JD13" i="1" s="1"/>
  <c r="JD14" i="1" s="1"/>
  <c r="JD15" i="1" s="1"/>
  <c r="JD16" i="1" s="1"/>
  <c r="JD5" i="1"/>
  <c r="JD1" i="1" s="1"/>
  <c r="HH11" i="1"/>
  <c r="HH12" i="1" s="1"/>
  <c r="HH13" i="1" s="1"/>
  <c r="DD1" i="1"/>
  <c r="KN5" i="1"/>
  <c r="KN1" i="1" s="1"/>
  <c r="GJ5" i="1"/>
  <c r="GJ1" i="1" s="1"/>
  <c r="DP12" i="1"/>
  <c r="DP13" i="1" s="1"/>
  <c r="DP5" i="1"/>
  <c r="DP1" i="1" s="1"/>
  <c r="KB5" i="1"/>
  <c r="KB1" i="1" s="1"/>
  <c r="IF5" i="1"/>
  <c r="IF1" i="1" s="1"/>
  <c r="W5" i="2"/>
  <c r="W1" i="2" s="1"/>
  <c r="W11" i="2"/>
  <c r="W12" i="2" s="1"/>
  <c r="W13" i="2" s="1"/>
  <c r="W14" i="2" s="1"/>
  <c r="W15" i="2" s="1"/>
  <c r="W16" i="2" s="1"/>
  <c r="W17" i="2" s="1"/>
  <c r="W18" i="2" s="1"/>
  <c r="W19" i="2" s="1"/>
  <c r="W20" i="2" s="1"/>
  <c r="IR5" i="1"/>
  <c r="IR1" i="1" s="1"/>
  <c r="CF5" i="1"/>
  <c r="CF1" i="1" s="1"/>
  <c r="CR5" i="1"/>
  <c r="CR1" i="1" s="1"/>
  <c r="LL10" i="1"/>
  <c r="LL11" i="1" s="1"/>
  <c r="LL5" i="1"/>
  <c r="LL1" i="1" s="1"/>
  <c r="AJ5" i="1"/>
  <c r="AJ1" i="1" s="1"/>
  <c r="JP5" i="1"/>
  <c r="JP1" i="1" s="1"/>
  <c r="A5" i="2"/>
  <c r="BT5" i="1"/>
  <c r="BT1" i="1" s="1"/>
  <c r="KZ5" i="1"/>
  <c r="KZ1" i="1" s="1"/>
  <c r="FL5" i="1"/>
  <c r="FL1" i="1" s="1"/>
  <c r="AH5" i="2"/>
  <c r="AH1" i="2" s="1"/>
  <c r="A5" i="1"/>
  <c r="HH5" i="1" l="1"/>
  <c r="HH1" i="1" s="1"/>
  <c r="C1" i="1"/>
  <c r="C1" i="2"/>
  <c r="I1" i="2" l="1"/>
  <c r="C2" i="2"/>
  <c r="I2" i="2" s="1"/>
  <c r="C2" i="1"/>
  <c r="I2" i="1" s="1"/>
  <c r="I1" i="1"/>
</calcChain>
</file>

<file path=xl/sharedStrings.xml><?xml version="1.0" encoding="utf-8"?>
<sst xmlns="http://schemas.openxmlformats.org/spreadsheetml/2006/main" count="1707" uniqueCount="376">
  <si>
    <t>Fleer</t>
  </si>
  <si>
    <t>Estimated Total Value</t>
  </si>
  <si>
    <t>Odd Balls / Non-Standard Size</t>
  </si>
  <si>
    <t>1986-87 Fleer</t>
  </si>
  <si>
    <t>1987-88 Fleer</t>
  </si>
  <si>
    <t>1988-89 Fleer</t>
  </si>
  <si>
    <t>1989-90 Fleer</t>
  </si>
  <si>
    <t>1990-91 Fleer</t>
  </si>
  <si>
    <t>1991-92 Fleer</t>
  </si>
  <si>
    <t>1992-93 Fleer</t>
  </si>
  <si>
    <t>1992-93 Fleer Ultra</t>
  </si>
  <si>
    <t>1993-94 Fleer</t>
  </si>
  <si>
    <t>1993-94 Fleer Ultra</t>
  </si>
  <si>
    <t>1993-94 Fleer Jam Session</t>
  </si>
  <si>
    <t>1994 Fleer ProCards</t>
  </si>
  <si>
    <t>1994-95 Flair</t>
  </si>
  <si>
    <t>1995-96 Fleer</t>
  </si>
  <si>
    <t>1995-96 Fleer Ultra</t>
  </si>
  <si>
    <t>1995-96 Fleer Jam Session</t>
  </si>
  <si>
    <t>1995-96 Flair</t>
  </si>
  <si>
    <t>1995-96 Fleer Metal</t>
  </si>
  <si>
    <t>1996-97 Fleer</t>
  </si>
  <si>
    <t>1996-97 Fleer Ultra</t>
  </si>
  <si>
    <t>1996-97 Flair Showcase</t>
  </si>
  <si>
    <t>1996-97 Fleer Metal</t>
  </si>
  <si>
    <t>1997-98 Fleer</t>
  </si>
  <si>
    <t>1997-98 Fleer Ultra</t>
  </si>
  <si>
    <t>1997-98 Flair Showcase</t>
  </si>
  <si>
    <t>1997-98 Metal Universe</t>
  </si>
  <si>
    <t>1997-98 Metal Universe Championship</t>
  </si>
  <si>
    <t>Size</t>
  </si>
  <si>
    <t>Thk.</t>
  </si>
  <si>
    <t>Card</t>
  </si>
  <si>
    <t xml:space="preserve">Print </t>
  </si>
  <si>
    <t>Pack</t>
  </si>
  <si>
    <t>Grade</t>
  </si>
  <si>
    <t>Run</t>
  </si>
  <si>
    <t>Odds</t>
  </si>
  <si>
    <t>Hard Case</t>
  </si>
  <si>
    <r>
      <t>2-</t>
    </r>
    <r>
      <rPr>
        <b/>
        <sz val="20"/>
        <color theme="1"/>
        <rFont val="Calibri"/>
        <family val="2"/>
      </rPr>
      <t>½ x 3-½"</t>
    </r>
  </si>
  <si>
    <t>-----</t>
  </si>
  <si>
    <t>1991-92 Fleer - 3D Acrylic #29 Michael Jordan</t>
  </si>
  <si>
    <t>Standard</t>
  </si>
  <si>
    <t>BGS 8</t>
  </si>
  <si>
    <t>1986-87 Fleer #57 Michael Jordan RC</t>
  </si>
  <si>
    <t>Album</t>
  </si>
  <si>
    <t>1987-88 Fleer #59 Michael Jordan</t>
  </si>
  <si>
    <t>1988-89 Fleer #17 Michael Jordan</t>
  </si>
  <si>
    <t>1989-90 Fleer #21 Michael Jordan</t>
  </si>
  <si>
    <t>1990-91 Fleer #26 Michael Jordan UER</t>
  </si>
  <si>
    <t>1991-92 Fleer #29 Michael Jordan</t>
  </si>
  <si>
    <t>1992-93 Fleer #32 Michael Jordan</t>
  </si>
  <si>
    <t>1992-93 Ultra #27 Michael Jordan</t>
  </si>
  <si>
    <t>1993-94 Fleer #28 Michael Jordan</t>
  </si>
  <si>
    <t>1993-94 Ultra #30 Michael Jordan</t>
  </si>
  <si>
    <r>
      <t>2-</t>
    </r>
    <r>
      <rPr>
        <b/>
        <sz val="20"/>
        <color theme="1"/>
        <rFont val="Aptos Narrow"/>
        <family val="2"/>
      </rPr>
      <t>½</t>
    </r>
    <r>
      <rPr>
        <b/>
        <sz val="20"/>
        <color theme="1"/>
        <rFont val="Calibri"/>
        <family val="2"/>
      </rPr>
      <t xml:space="preserve"> x 4-</t>
    </r>
    <r>
      <rPr>
        <b/>
        <sz val="20"/>
        <color theme="1"/>
        <rFont val="Aptos Narrow"/>
        <family val="2"/>
      </rPr>
      <t>⅝</t>
    </r>
    <r>
      <rPr>
        <b/>
        <sz val="20"/>
        <color theme="1"/>
        <rFont val="Calibri"/>
        <family val="2"/>
      </rPr>
      <t>"</t>
    </r>
  </si>
  <si>
    <t>PSA 8</t>
  </si>
  <si>
    <t>1993-94 Jam Session #33 Michael Jordan</t>
  </si>
  <si>
    <t>1994 Fleer ProCards #633 Michael Jordan VAR: Facing left, "Barons" fully visible on jersey</t>
  </si>
  <si>
    <t>35 pt</t>
  </si>
  <si>
    <t>SGC 8.5</t>
  </si>
  <si>
    <t>1994-95 Flair #326 Michael Jordan</t>
  </si>
  <si>
    <t>1995-96 Fleer #22 Michael Jordan</t>
  </si>
  <si>
    <t>1995-96 Ultra #25 Michael Jordan</t>
  </si>
  <si>
    <t>1995-96 Jam Session #13 Michael Jordan CC</t>
  </si>
  <si>
    <t>1995-96 Flair #15 Michael Jordan</t>
  </si>
  <si>
    <t>1995-96 Metal #13 Michael Jordan</t>
  </si>
  <si>
    <t>1996-97 Fleer #13 Michael Jordan</t>
  </si>
  <si>
    <t>1996-97 Ultra #16 Michael Jordan</t>
  </si>
  <si>
    <t>SGC 8</t>
  </si>
  <si>
    <t>1996-97 Flair Showcase - Flair Showcase Row 0 (Showcase) #23 Michael Jordan</t>
  </si>
  <si>
    <t>1996-97 Metal #11 Michael Jordan</t>
  </si>
  <si>
    <t>1997-98 Fleer #23 Michael Jordan AS, AW, LL</t>
  </si>
  <si>
    <t>1997-98 Ultra #23 Michael Jordan</t>
  </si>
  <si>
    <t>1997-98 Flair Showcase - Flair Showcase Row 0 #1 Michael Jordan SN250</t>
  </si>
  <si>
    <t>1997-98 Metal Universe #23 Michael Jordan</t>
  </si>
  <si>
    <t>1997-98 Metal Universe Championship #23 Michael Jordan</t>
  </si>
  <si>
    <t>1991-92 Fleer - 3D Acrylic #220 Michael Jordan LL</t>
  </si>
  <si>
    <t>1986-87 Fleer - Stickers #8 Michael Jordan</t>
  </si>
  <si>
    <t>1987-88 Fleer - Stickers #2 Michael Jordan</t>
  </si>
  <si>
    <t>1988-89 Fleer #120 Michael Jordan AS</t>
  </si>
  <si>
    <t>1989-90 Fleer - Stickers #3 Michael Jordan</t>
  </si>
  <si>
    <t>1990-91 Fleer #26 Michael Jordan VAR No black line between gray and yellow sections on back</t>
  </si>
  <si>
    <t>1991-92 Fleer Tony's Pizza #S-33 Michael Jordan</t>
  </si>
  <si>
    <t>Standard                  Hand Cut</t>
  </si>
  <si>
    <t>1992-93 Fleer - Chicago Bulls Back to Back Perforated Sheet Singles #NNO Michael Jordan</t>
  </si>
  <si>
    <t>1992-93 Ultra #216 Michael Jordan JS</t>
  </si>
  <si>
    <t>1993-94 Fleer #224 Michael Jordan LL</t>
  </si>
  <si>
    <t>1993-94 Ultra - All-Defensive Team #2 Michael Jordan</t>
  </si>
  <si>
    <t>&lt; 20</t>
  </si>
  <si>
    <t>1994 Fleer ProCards #633 Michael Jordan VAR: Facing forward, "Barons" not fully visible on jersey</t>
  </si>
  <si>
    <t>1995-96 Fleer #323 Michael Jordan FF</t>
  </si>
  <si>
    <t>1995-96 Ultra - Gold Medallion #25 Michael Jordan</t>
  </si>
  <si>
    <t>1995-96 Jam Session - Die Cuts #D13 Michael Jordan CC</t>
  </si>
  <si>
    <t>1995-96 Flair #235 Michael Jordan STY</t>
  </si>
  <si>
    <t>1995-96 Metal - Silver Spotlight #13 Michael Jordan</t>
  </si>
  <si>
    <t>1996-97 Fleer #123 Michael Jordan HL</t>
  </si>
  <si>
    <t>1996-97 Ultra - Gold Medallion #G-16 Michael Jordan</t>
  </si>
  <si>
    <t>1996-97 Flair Showcase - Legacy Collection Row 0 (Showcase) #23 Michael Jordan SN150</t>
  </si>
  <si>
    <t>1996-97 Metal #128 Michael Jordan MET</t>
  </si>
  <si>
    <t>1997-98 Fleer - Traditions Crystal #23 Michael Jordan</t>
  </si>
  <si>
    <t>1997-98 Ultra - Gold Medallion #23G Michael Jordan</t>
  </si>
  <si>
    <t>1997-98 Flair Showcase - Legacy Collection Row 0 #1 Michael Jordan SN100</t>
  </si>
  <si>
    <t>1997-98 Metal Universe - Precious Metal Gems Red #23 PMG Michael Jordan SN100, PR90</t>
  </si>
  <si>
    <t>1997-98 Metal Universe Championship - Precious Metal Gems #23 Michael Jordan PR50</t>
  </si>
  <si>
    <t>1991-92 Fleer - 3D Acrylic #375 Michael Jordan TL</t>
  </si>
  <si>
    <t>1988-89 Fleer - Stickers #7 Michael Jordan</t>
  </si>
  <si>
    <t>1990-91 Fleer - All-Stars #5 Michael Jordan</t>
  </si>
  <si>
    <t>1991-92 Fleer #211 Michael Jordan AS</t>
  </si>
  <si>
    <t>1992-93 Fleer - Perforated Inside Stuff Magazine Promo Sheet Singles #32 Michael Jordan</t>
  </si>
  <si>
    <t>1992-93 Ultra - Jam Session Exchange #NNO Jam Session Rank 11-20 (Tim Perry / Duane Causwell / Scottie Pippen / Robert Parish / Stacey Augmon / Michael Jordan / Karl Malone / John Williams / Horace Grant / Orlando Woolridge) EXCH</t>
  </si>
  <si>
    <t>1993-94 Fleer - All-Stars #5 Michael Jordan</t>
  </si>
  <si>
    <t>1993-94 Ultra - All-NBA Team #2 Michael Jordan</t>
  </si>
  <si>
    <t>1995-96 Fleer - End 2 End #9 Michael Jordan</t>
  </si>
  <si>
    <t>1995-96 Ultra - Double Trouble #3 Michael Jordan</t>
  </si>
  <si>
    <t>1995-96 Jam Session - Show Stoppers #S3 Michael Jordan</t>
  </si>
  <si>
    <t>SGC 9</t>
  </si>
  <si>
    <t>1995-96 Flair - Anticipation #2 Michael Jordan</t>
  </si>
  <si>
    <t>1995-96 Metal #212 Michael Jordan NB</t>
  </si>
  <si>
    <t>1996-97 Fleer #282 Michael Jordan AS</t>
  </si>
  <si>
    <t>1996-97 Ultra - Platinum Medallion #P-16 Michael Jordan PR250</t>
  </si>
  <si>
    <t>1996-97 Flair Showcase - Flair Showcase Row 1 (Grace) #23 Michael Jordan</t>
  </si>
  <si>
    <t>1996-97 Metal #241 Michael Jordan MS</t>
  </si>
  <si>
    <t>1997-98 Fleer - Traditions Tiffany #23 Michael Jordan</t>
  </si>
  <si>
    <t>1997-98 Ultra - Platinum Medallion #23P Michael Jordan SN100</t>
  </si>
  <si>
    <t>1997-98 Flair Showcase - Flair Showcase Row 1 #1 Michael Jordan</t>
  </si>
  <si>
    <t>1997-98 Metal Universe - Precious Metal Gems Emerald #23 PMG Michael Jordan SN100, PR10</t>
  </si>
  <si>
    <t>1997-98 Metal Universe Championship - Championship Galaxy #1 CG Michael Jordan</t>
  </si>
  <si>
    <t>1991-92 Fleer - 3D Acrylic #211 Michael Jordan AS</t>
  </si>
  <si>
    <t>1991-92 Fleer #220 Michael Jordan LL</t>
  </si>
  <si>
    <t>1992-93 Fleer Drake's #7 Michael Jordan</t>
  </si>
  <si>
    <t>1992-93 Ultra - All-NBA Team #4 Michael Jordan</t>
  </si>
  <si>
    <t>1993-94 Fleer - Living Legends #4 Michael Jordan</t>
  </si>
  <si>
    <t>1993-94 Ultra - Scoring Kings #5 Michael Jordan</t>
  </si>
  <si>
    <t>1995-96 Fleer - Flair Hardwood Leader #4 Michael Jordan</t>
  </si>
  <si>
    <t>1995-96 Ultra - Double Trouble Gold Medallion #3 Michael Jordan</t>
  </si>
  <si>
    <t>1995-96 Flair - Hot Numbers #4 Michael Jordan</t>
  </si>
  <si>
    <t>1995-96 Metal - Maximum Metal #4 Michael Jordan</t>
  </si>
  <si>
    <t>1996-97 Fleer - Game Breakers #1 Michael Jordan / Scottie Pippen</t>
  </si>
  <si>
    <t>1996-97 Ultra #143 Michael Jordan UE</t>
  </si>
  <si>
    <t>1996-97 Flair Showcase - Legacy Collection Row 1 (Grace) #23 Michael Jordan SN150</t>
  </si>
  <si>
    <t>1996-97 Metal - Precious Metal #241 Michael Jordan MS</t>
  </si>
  <si>
    <t>1997-98 Fleer - Flair Hardwood Leaders #4 Michael Jordan</t>
  </si>
  <si>
    <t>1997-98 Ultra #259 Michael Jordan GR</t>
  </si>
  <si>
    <t>1997-98 Flair Showcase - Legacy Collection Row 1 #1 Michael Jordan SN100</t>
  </si>
  <si>
    <t>1997-98 Metal Universe - Platinum Portraits #1 PP Michael Jordan</t>
  </si>
  <si>
    <t>1997-98 Metal Universe Championship - Hardware #5 H Michael Jordan</t>
  </si>
  <si>
    <t>1991-92 Fleer - 3D Acrylic #233 1991 All-Star Game</t>
  </si>
  <si>
    <t>1991-92 Fleer #233 1991 All-Star Game ASG</t>
  </si>
  <si>
    <t>1992-93 Fleer #238 Michael Jordan LL</t>
  </si>
  <si>
    <t>1992-93 Ultra - NBA Award Winners #1 Michael Jordan</t>
  </si>
  <si>
    <t>1993-94 Fleer - NBA Superstars #7 Michael Jordan</t>
  </si>
  <si>
    <t>1993-94 Ultra - Inside Outside #4 Michael Jordan</t>
  </si>
  <si>
    <t>1995-96 Fleer - Total D #3 Michael Jordan</t>
  </si>
  <si>
    <t>1995-96 Ultra - Fabulous Fifties #5 Michael Jordan</t>
  </si>
  <si>
    <t>1995-96 Flair - New Heights #4 Michael Jordan</t>
  </si>
  <si>
    <t>1995-96 Metal - Scoring Magnets #4 Michael Jordan</t>
  </si>
  <si>
    <t>1996-97 Fleer - Stackhouse's All-Fleer #4 Michael Jordan</t>
  </si>
  <si>
    <t>1996-97 Ultra - Gold Medallion #143 Michael Jordan UE</t>
  </si>
  <si>
    <t>1996-97 Flair Showcase Row 2 #23 Michael Jordan</t>
  </si>
  <si>
    <t>1996-97 Metal - Steel Slammin' #6 Michael Jordan</t>
  </si>
  <si>
    <t>1997-98 Fleer - Game Breakers #1 Michael Jordan / Dennis Rodman</t>
  </si>
  <si>
    <t>1997-98 Ultra - Gold Medallion #259G Michael Jordan GR</t>
  </si>
  <si>
    <t>SGC 9.5</t>
  </si>
  <si>
    <t>1997-98 Flair Showcase - Flair Showcase Row 2 #1 Michael Jordan</t>
  </si>
  <si>
    <t>1997-98 Metal Universe - Titanium #1 T Michael Jordan</t>
  </si>
  <si>
    <t>1997-98 Metal Universe Championship - All-Millenium Team #5AM Michael Jordan</t>
  </si>
  <si>
    <t>1991-92 Fleer - 3D Acrylic #237 1991 All-Star Game</t>
  </si>
  <si>
    <t>1991-92 Fleer #237 1991 All-Star Game ASG</t>
  </si>
  <si>
    <t>1992-93 Fleer #246 Michael Jordan AW, MVP</t>
  </si>
  <si>
    <t>1993-94 Fleer - Sharpshooters #3 Michael Jordan</t>
  </si>
  <si>
    <t>1993-94 Ultra - Power in the Key #2 Michael Jordan</t>
  </si>
  <si>
    <t>1995-96 Fleer - Total O #2 Michael Jordan</t>
  </si>
  <si>
    <t>1995-96 Ultra - Fabulous Fifties Gold Medallion #5 Michael Jordan</t>
  </si>
  <si>
    <t>1995-96 Metal - Slick Silver #3 Michael Jordan</t>
  </si>
  <si>
    <t>1996-97 Fleer - Thrill Seekers #6 Michael Jordan</t>
  </si>
  <si>
    <t>1996-97 Ultra - Platinum Medallion #143 Michael Jordan UE, PR250</t>
  </si>
  <si>
    <t>1996-97 Flair Showcase - Legacy Collection Row 2 (Style) #23 Michael Jordan SN150</t>
  </si>
  <si>
    <t>1996-97 Metal - Maximum Metal #4 Michael Jordan</t>
  </si>
  <si>
    <t>1997-98 Fleer - Soaring Stars #9SS Michael Jordan</t>
  </si>
  <si>
    <t>1997-98 Ultra - Platinum Medallion #259P Michael Jordan GR, SN100</t>
  </si>
  <si>
    <t>1997-98 Flair Showcase - Legacy Collection Row 2 #1 Michael Jordan SN100</t>
  </si>
  <si>
    <t>1997-98 Metal Universe - Planet Metal #1 PM Michael Jordan</t>
  </si>
  <si>
    <t>1991-92 Fleer - 3D Acrylic #238 1991 All-Star Game</t>
  </si>
  <si>
    <t>1991-92 Fleer #238 1991 All-Star Game ASG</t>
  </si>
  <si>
    <t>1992-93 Fleer #273 Michael Jordan SD</t>
  </si>
  <si>
    <t>1993-94 Ultra - Famous Nicknames #7 Michael Jordan</t>
  </si>
  <si>
    <t>1995-96 Fleer - Total O Hot Pack #2 Michael Jordan</t>
  </si>
  <si>
    <t>1995-96 Ultra - Jam City #3 Michael Jordan</t>
  </si>
  <si>
    <t>1995-96 Metal - Stackhouse Scrapbook #S-7 Michael Jordan</t>
  </si>
  <si>
    <t>1996-97 Fleer - Total "O" #4 Michael Jordan</t>
  </si>
  <si>
    <t>1996-97 Ultra #280 Michael Jordan SU</t>
  </si>
  <si>
    <t>1996-97 Flair Showcase - Hot Shots #1 Michael Jordan</t>
  </si>
  <si>
    <t>1996-97 Metal - Molten Metal #18 Michael Jordan</t>
  </si>
  <si>
    <t>1997-98 Fleer - High Flying Soaring Stars #9 HFSS Michael Jordan</t>
  </si>
  <si>
    <t>1997-98 Ultra - Star Power #1 SP Michael Jordan</t>
  </si>
  <si>
    <t>1997-98 Flair Showcase Row 3 #1 Michael Jordan</t>
  </si>
  <si>
    <t>&lt; 60</t>
  </si>
  <si>
    <t>1995 Fleer Jam Session Game Test Samples #P1 Michael Jordan</t>
  </si>
  <si>
    <t>1991-92 Fleer #375 Michael Jordan TL</t>
  </si>
  <si>
    <t>1992-93 Fleer Tony's Pizza #NNO Michael Jordan</t>
  </si>
  <si>
    <t>1995-96 Ultra - Jam City Hot Pack #3 Michael Jordan</t>
  </si>
  <si>
    <t>1996-97 Fleer - Decade of Excellence #4 Michael Jordan</t>
  </si>
  <si>
    <t>1996-97 Ultra - Gold Medallion #G-280 Michael Jordan SU</t>
  </si>
  <si>
    <t>1996-97 Metal - Net-Rageous #5 Michael Jordan</t>
  </si>
  <si>
    <t>1997-98 Fleer - Thrill Seekers #7TS Michael Jordan</t>
  </si>
  <si>
    <t>1997-98 Ultra - Star Power Plus #1 SPP Michael Jordan</t>
  </si>
  <si>
    <t>1997-98 Flair Showcase - Legacy Collection Row 3 #1 Michael Jordan SN100</t>
  </si>
  <si>
    <t>1991-92 Fleer - Pro-Visions #2 Michael Jordan</t>
  </si>
  <si>
    <t>1992-93 Fleer #NNO All Slam Dunk Team</t>
  </si>
  <si>
    <t>1995-96 Ultra - Scoring Kings #4 Michael Jordan</t>
  </si>
  <si>
    <t>1996-97 Ultra - Platinum Medallion #P-280 Michael Jordan SU, PR250</t>
  </si>
  <si>
    <t>1996-97 Metal - Platinum Portraits #5 Michael Jordan</t>
  </si>
  <si>
    <t>1997-98 Fleer - Total "O" #5 TO Michael Jordan</t>
  </si>
  <si>
    <t>1997-98 Ultra - Star Power Supreme #1 SPS Michael Jordan</t>
  </si>
  <si>
    <t>1991-92 Fleer Wheaties #70 Michael Jordan</t>
  </si>
  <si>
    <t>1992-93 Fleer - All-Stars #6 Michael Jordan</t>
  </si>
  <si>
    <t>1995-96 Ultra - Scoring Kings Hot Pack #4 Michael Jordan</t>
  </si>
  <si>
    <t>1996-97 Ultra - Court Masters #2 Michael Jordan</t>
  </si>
  <si>
    <t>1996-97 Metal - Decade of Excellence #M4 Michael Jordan</t>
  </si>
  <si>
    <t>1997-98 Fleer - Zone #10Z Michael Jordan</t>
  </si>
  <si>
    <t>1997-98 Ultra - Ultra Stars #1 US Michael Jordan</t>
  </si>
  <si>
    <t>1992-93 Fleer - Team Leaders #4 Michael Jordan</t>
  </si>
  <si>
    <t>1996-97 Ultra - Starring Role #4 Michael Jordan</t>
  </si>
  <si>
    <t>1997-98 Fleer - Decade of Excellence #5 Michael Jordan</t>
  </si>
  <si>
    <t>1997-98 Ultra - Ultra Stars Gold #1 US Michael Jordan 10% of PR is Gold</t>
  </si>
  <si>
    <t>1992-93 Fleer - Total D #5 Michael Jordan</t>
  </si>
  <si>
    <t>1996-97 Ultra - Scoring Kings #4 Michael Jordan</t>
  </si>
  <si>
    <t>1997-98 Fleer - Decade of Excellence Rare Traditions #5 Michael Jordan</t>
  </si>
  <si>
    <t>1997-98 Ultra - Court Masters #1 CM Michael Jordan</t>
  </si>
  <si>
    <t>1996-97 Ultra - Scoring Kings Plus #4 Michael Jordan</t>
  </si>
  <si>
    <t>1997-98 Ultra - Ultrabilities Starter #1 S Michael Jordan</t>
  </si>
  <si>
    <t>1996-97 Ultra - Full Court Trap #1 Michael Jordan</t>
  </si>
  <si>
    <t>1997-98 Ultra - Ultrabilities All-Star #1 AS Michael Jordan</t>
  </si>
  <si>
    <t>1996-97 Ultra - Full Court Trap Gold #1 Michael Jordan</t>
  </si>
  <si>
    <t>1997-98 Ultra - Ultrabilities Superstar #1 SS Michael Jordan</t>
  </si>
  <si>
    <t>1996-97 Ultra - Give and Take #5 Michael Jordan</t>
  </si>
  <si>
    <t>1997-98 Ultra - View to a Thrill #1 VT Michael Jordan</t>
  </si>
  <si>
    <t>1996-97 Ultra - Board Game #7 Michael Jordan</t>
  </si>
  <si>
    <t>1997-98 Ultra - Big Shots #1 BS Michael Jordan</t>
  </si>
  <si>
    <t>1996-97 Ultra - Ultra Decade #U-4 Michael Jordan</t>
  </si>
  <si>
    <t>Fleer        Gold Cards</t>
  </si>
  <si>
    <t>Hard Case Fleer Gold Cards</t>
  </si>
  <si>
    <t>1996-97 Fleer Decade of Excellence 23kt Gold</t>
  </si>
  <si>
    <t>1997 23kt Gold Fleer Rookie</t>
  </si>
  <si>
    <t>1997 23kt Gold Fleer Rookie Sticker</t>
  </si>
  <si>
    <t>1998 23kt Gold 6 Time Finals Stamp</t>
  </si>
  <si>
    <t>1997 23kt Gold Fleer Game Breakers</t>
  </si>
  <si>
    <t>1997 23kt Gold Fleer Ultra Court Masters</t>
  </si>
  <si>
    <t>1997 23kt Gold Fleer Ultra Starring Role</t>
  </si>
  <si>
    <t>1997 23kt Gold E-X2000</t>
  </si>
  <si>
    <t>1997 23kt Gold Hoops Starting 5</t>
  </si>
  <si>
    <t>1996-1998 23kt Gold Cards</t>
  </si>
  <si>
    <t>1997 Flair Gems of the NBA 23 kt Gold Diamond Michael Jordan</t>
  </si>
  <si>
    <t>1996-97 Fleer Brushed Gold #NNO Michael Jordan</t>
  </si>
  <si>
    <t>1997-98 Fleer 23KT Gold 1986 Rookie #NNO Michael Jordan</t>
  </si>
  <si>
    <t>1997-98 Fleer 23KT Gold 1986 Rookie Sticker #NNO Michael Jordan</t>
  </si>
  <si>
    <t>1997-98 Fleer 23KT Gold 1986 Rookie Sticker #NNO Michael Jordan 6 Time Champion Stamp</t>
  </si>
  <si>
    <t>1996-97 Fleer Michael Jordan/Pippen Game Breakers Silver Prisim Signature 23KT Gold #NNO</t>
  </si>
  <si>
    <t>1996-97 Ultra Michael Jordan Court Masters 23KT Gold #NNO Michael Jordan SN10000</t>
  </si>
  <si>
    <t>1996-97 Ultra Michael Jordan Starring Role 23KT Gold #NNO Signature Series</t>
  </si>
  <si>
    <t>1996-97 EX-2000 Michael Jordan Metallic Red Border Signature 23KT Gold #NNO</t>
  </si>
  <si>
    <t>1996-97 Hoops Starting 5 Red Holo Refractor Signature 23KT Gold #NNO</t>
  </si>
  <si>
    <t>1997-98 Flair Showcase 23K GOLD Michael Jordan</t>
  </si>
  <si>
    <t>1997 Flair Gems of the NBA RED SIGNATURE 23 kt Gold Diamond Michael Jordan</t>
  </si>
  <si>
    <t>1996-97 Fleer Polychrome Refractor Gold #NNO Michael Jordan</t>
  </si>
  <si>
    <t>1997-98 Fleer Michael Jordan '86 Rookie RED Facsimile Auto 23KT Gold #NNO Signature Series</t>
  </si>
  <si>
    <t>1997-98 Fleer 23KT Gold 1986 Rookie Sticker Signature Series #NNO Michael Jordan</t>
  </si>
  <si>
    <t>1997-98 Fleer 23KT Gold 1986 Rookie #NNO Michael Jordan 6 Time Champion Stamp</t>
  </si>
  <si>
    <t>1996-97 Fleer Michael Jordan/Pippen Game Breakers 23KT Gold Black Signature #NNO</t>
  </si>
  <si>
    <t>1996-97 Ultra Michael Jordan Court Masters Feel the Game 23KT Gold #NNO Michael Jordan SN10001</t>
  </si>
  <si>
    <t>1996-97 Ultra Michael Jordan Feel the Game Starring Role 23KT Gold #NNO Michael Jordan SN10000</t>
  </si>
  <si>
    <t>1996-97 EX-2000 Michael Jordan Holographic Border Signature 23KT Gold #NNO</t>
  </si>
  <si>
    <t>1996-97 Hoops Starting 5 Feel The Game 23KT Gold #NNO</t>
  </si>
  <si>
    <t>1997-98 Z-Force 23KT Gold #NNO</t>
  </si>
  <si>
    <t>1998 Flair Gems of the NBA 23 kt Gold Diamond Michael Jordan / Scottie Pippen Game Breakers #NNO</t>
  </si>
  <si>
    <t>1997-98 Fleer Michael Jordan '86 Rookie BLUE Facsimile Auto 23KT Gold #NNO Signature Series</t>
  </si>
  <si>
    <t xml:space="preserve">1997-98 Fleer 23KT Gold 1986 Rookie Sticker RED SIGNATURE #NNO Michael Jordan </t>
  </si>
  <si>
    <t>1997-98 Fleer Michael Jordan/Pippen Game Breakers 23KT Gold Signature Series #NNO 5 Time Champion Stamp</t>
  </si>
  <si>
    <t>1997-98 Ultra Michael Jordan Court Masters Blue Background 23KT Gold #NNO Michael Jordan SN10000</t>
  </si>
  <si>
    <t>1997-98 Ultra Michael Jordan Starring Role Blue Cloud Background 23KT Gold #NNO Michael Jordan SN10000</t>
  </si>
  <si>
    <t>1996-97 EX-2000 Michael Jordan Blue Border Signature 23KT Gold #NNO PR 1998</t>
  </si>
  <si>
    <t>1997-98 Z-Force 23KT Gold RED HOLO #NNO</t>
  </si>
  <si>
    <t>1997-98 Fleer Premier 23KT Gold Diamond Solid Gold 1986 Rookie #NNO Michael Jordan</t>
  </si>
  <si>
    <t>1997-98 Fleer Michael Jordan '86 Rookie BLACK Facsimile Auto 23KT Gold #NNO Signature Series</t>
  </si>
  <si>
    <t xml:space="preserve">1997-98 Fleer 23KT Gold 1986 Rookie Sticker BLUE Border Limited Edition #NNO Michael Jordan </t>
  </si>
  <si>
    <t>1997-98 EX-2000 Michael Jordan Feel The Game Signature 23KT Gold #NNO 6x Champion Stamp</t>
  </si>
  <si>
    <t>1997-98 Ultra Michael Jordan Starring Role Green Speckled Background 23KT Gold #NNO SN4523</t>
  </si>
  <si>
    <t>1996-97 EX-2000 Michael Jordan Metallic Border Signature 23KT Gold #NNO PR 1998</t>
  </si>
  <si>
    <t>1997-98 Fleer Premier 23kt Gold Diamond R/W/B Border 1986 Rookie #NNO Michael Jordan </t>
  </si>
  <si>
    <t>1997-98 Fleer Premier 23KT Gold R/W/B Border #NNO Michael Jordan</t>
  </si>
  <si>
    <t>1997-98 Hoops Starting 5 Feel The Game 23KT Gold #NNO 6 Time Champion Stamp</t>
  </si>
  <si>
    <t>1996-97 EX-2000 Michael Jordan GOLD Metallic Border Signature 23KT Gold #NNO PR 1998</t>
  </si>
  <si>
    <t>1997-98 Fleer Premier 23kt Gold Diamond Hoops Starting 5 WHITE STAMP #NNO Michael Jordan</t>
  </si>
  <si>
    <t>1997-98 Fleer Premier 23KT Gold R/W/B Border Signature Series #NNO Michael Jordan</t>
  </si>
  <si>
    <t>1997-98 Hoops Starting 5 23KT Gold #NNO 6 Time Champion Stamp</t>
  </si>
  <si>
    <t>1997-98 Fleer Premier 23kt Gold Diamond Hoops Starting 5 RED STAMP #NNO Michael Jordan</t>
  </si>
  <si>
    <t>1997-98 Fleer Premier 23KT Gold R/GOLD/B Border  #NNO Michael Jordan PR 1906</t>
  </si>
  <si>
    <t>1998 23 kt Gold Gem Stone Michael Jordan 1986 Rookie R/W/B Border</t>
  </si>
  <si>
    <t>1997-98 Fleer Premier 23KT Gold R/GOLD/B Border Signature Series #NNO Michael Jordan PR 1906</t>
  </si>
  <si>
    <t>1998 23 kt Gold Gem Stone Michael Jordan 1986 Rookie Gold Border</t>
  </si>
  <si>
    <t>1997-98 Fleer Michael Jordan '86 Rookie Feel the Game 23KT Gold #NNO</t>
  </si>
  <si>
    <t>1998 23 kt Gold Gem Stone Michael Jordan 1986 Rookie Sticker</t>
  </si>
  <si>
    <t>1997-98 Fleer Michael Jordan '86 Rookie Feel the Game 23KT Gold #NNO Signature Series</t>
  </si>
  <si>
    <t>1998 23 kt Gold Gem Stone Michael Jordan 1997 Flair Showcase</t>
  </si>
  <si>
    <t>1997-98 Fleer Michael Jordan '86 Rookie Feel the Game Border 23KT Gold #NNO</t>
  </si>
  <si>
    <t>1998 23 kt Gold Gem Stone Michael Jordan 1997 Z-Force</t>
  </si>
  <si>
    <t>1997-98 Fleer 23KT Gold 1986 Rookie RED HOLO REFRACTOR  #NNO Michael Jordan</t>
  </si>
  <si>
    <t>1998 23 kt Gold Gem Stone Michael Jordan 1996 Starting 5</t>
  </si>
  <si>
    <t>1997-98 Fleer 23KT Gold 1986 Rookie RED HOLO REFRACTOR Signature Series #NNO Michael Jordan</t>
  </si>
  <si>
    <t>1998 23 kt Gold Gem Stone Michael Jordan 1996 Game Breakers</t>
  </si>
  <si>
    <t>1997-98 Fleer 23KT Gold - Holographic Foil Facsimile Signature Series #NNO Michael Jordan SN10000</t>
  </si>
  <si>
    <t>Raw - NM+</t>
  </si>
  <si>
    <t>Retail</t>
  </si>
  <si>
    <t>Raw - Excellent</t>
  </si>
  <si>
    <t>Hobby</t>
  </si>
  <si>
    <t>Raw - Good</t>
  </si>
  <si>
    <t>Jumbo</t>
  </si>
  <si>
    <t>PSA 10</t>
  </si>
  <si>
    <t>Cello</t>
  </si>
  <si>
    <t>PSA 9</t>
  </si>
  <si>
    <t>Rack</t>
  </si>
  <si>
    <t>PSA 8.5</t>
  </si>
  <si>
    <t>Wax</t>
  </si>
  <si>
    <t>Foil</t>
  </si>
  <si>
    <t>PSA 7</t>
  </si>
  <si>
    <t>PSA 6-</t>
  </si>
  <si>
    <t>BGS 10</t>
  </si>
  <si>
    <t>BGS 9.5</t>
  </si>
  <si>
    <t>BGS 9</t>
  </si>
  <si>
    <t>BGS 8.5</t>
  </si>
  <si>
    <t>BGS 7.5</t>
  </si>
  <si>
    <t>BGS 7</t>
  </si>
  <si>
    <t>BGS 6.5</t>
  </si>
  <si>
    <t>BGS 6-</t>
  </si>
  <si>
    <t>SGC 10</t>
  </si>
  <si>
    <t>SGC 7.5</t>
  </si>
  <si>
    <t>SGC 7</t>
  </si>
  <si>
    <t>SGC 6.5</t>
  </si>
  <si>
    <t>SGC 6-</t>
  </si>
  <si>
    <t>CGC 10</t>
  </si>
  <si>
    <t>CGC 9.5</t>
  </si>
  <si>
    <t>CGC 9</t>
  </si>
  <si>
    <t>CGC 8.5</t>
  </si>
  <si>
    <t>CGC 8</t>
  </si>
  <si>
    <t>CGC 7.5</t>
  </si>
  <si>
    <t>CGC 7</t>
  </si>
  <si>
    <t>CGC 6.5</t>
  </si>
  <si>
    <t>CGC 6-</t>
  </si>
  <si>
    <t>TAG 10</t>
  </si>
  <si>
    <t>TAG 9.5</t>
  </si>
  <si>
    <t>TAG 9</t>
  </si>
  <si>
    <t>TAG 8.5</t>
  </si>
  <si>
    <t>TAG 8</t>
  </si>
  <si>
    <t>TAG 7.5</t>
  </si>
  <si>
    <t>TAG 7</t>
  </si>
  <si>
    <t>TAG 6.5</t>
  </si>
  <si>
    <t>TAG 6-</t>
  </si>
  <si>
    <t>RE 10</t>
  </si>
  <si>
    <t>RE 9.5</t>
  </si>
  <si>
    <t>RE 9</t>
  </si>
  <si>
    <t>RE 8.5</t>
  </si>
  <si>
    <t>RE 8</t>
  </si>
  <si>
    <t>RE 7.5</t>
  </si>
  <si>
    <t>RE 7</t>
  </si>
  <si>
    <t>RE 6.5</t>
  </si>
  <si>
    <t>RE 6-</t>
  </si>
  <si>
    <t>HGA 10</t>
  </si>
  <si>
    <t>HGA 9.5</t>
  </si>
  <si>
    <t>HGA 9</t>
  </si>
  <si>
    <t>HGA 8.5</t>
  </si>
  <si>
    <t>HGA 8</t>
  </si>
  <si>
    <t>HGA 7.5</t>
  </si>
  <si>
    <t>HGA 7</t>
  </si>
  <si>
    <t>HGA 6.5</t>
  </si>
  <si>
    <t>HGA 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</si>
</sst>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(&quot;$&quot;* #,##0.00_);_(&quot;$&quot;* \(#,##0.00\);_(&quot;$&quot;* &quot;-&quot;??_);_(@_)"/>
    <numFmt numFmtId="164" formatCode="0\ &quot;Total Cards&quot;"/>
    <numFmt numFmtId="165" formatCode="0\ &quot;Hard Case Cards&quot;"/>
    <numFmt numFmtId="166" formatCode="0\ &quot;Album Cards&quot;"/>
    <numFmt numFmtId="167" formatCode="0\ &quot;Total Remaining&quot;"/>
    <numFmt numFmtId="168" formatCode="0\ &quot;Hard Case Remain&quot;"/>
    <numFmt numFmtId="169" formatCode="&quot;$&quot;#,##0"/>
    <numFmt numFmtId="170" formatCode="&quot;$&quot;#,##0\ &quot;Captured&quot;"/>
    <numFmt numFmtId="171" formatCode="&quot;1 :&quot;\ #,#00"/>
    <numFmt numFmtId="172" formatCode="&quot;1 :&quot;\ 0,000"/>
    <numFmt numFmtId="173" formatCode="0\ &quot;Album Remain&quot;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8"/>
      <color theme="1"/>
      <name val="72 Black"/>
      <family val="2"/>
    </font>
    <font>
      <sz val="28"/>
      <color theme="1"/>
      <name val="Aptos Narrow"/>
      <family val="2"/>
      <scheme val="minor"/>
    </font>
    <font>
      <b/>
      <sz val="20"/>
      <color theme="1"/>
      <name val="72 Black"/>
      <family val="2"/>
    </font>
    <font>
      <b/>
      <i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C6491A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color theme="1"/>
      <name val="Calibri"/>
      <family val="2"/>
    </font>
    <font>
      <sz val="8"/>
      <color rgb="FF0D6EFD"/>
      <name val="Arial"/>
      <family val="2"/>
    </font>
    <font>
      <u/>
      <sz val="11"/>
      <color theme="1"/>
      <name val="Aptos Narrow"/>
      <family val="2"/>
      <scheme val="minor"/>
    </font>
    <font>
      <b/>
      <sz val="20"/>
      <color theme="1"/>
      <name val="Aptos Narrow"/>
      <family val="2"/>
    </font>
    <font>
      <u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8"/>
      <color rgb="FF800080"/>
      <name val="Arial"/>
      <family val="2"/>
    </font>
    <font>
      <b/>
      <sz val="20"/>
      <name val="Arial"/>
      <family val="2"/>
    </font>
    <font>
      <sz val="11"/>
      <name val="Aptos Narrow"/>
      <family val="2"/>
      <scheme val="minor"/>
    </font>
    <font>
      <u/>
      <sz val="8"/>
      <color rgb="FF0D6EFD"/>
      <name val="Arial"/>
      <family val="2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02">
    <xf numFmtId="0" fontId="0" fillId="0" borderId="0" xfId="0"/>
    <xf numFmtId="0" fontId="0" fillId="4" borderId="0" xfId="0" applyFill="1"/>
    <xf numFmtId="0" fontId="5" fillId="4" borderId="0" xfId="0" applyFont="1" applyFill="1"/>
    <xf numFmtId="0" fontId="6" fillId="3" borderId="0" xfId="0" applyFont="1" applyFill="1" applyAlignment="1">
      <alignment vertical="center"/>
    </xf>
    <xf numFmtId="169" fontId="7" fillId="3" borderId="7" xfId="1" applyNumberFormat="1" applyFont="1" applyFill="1" applyBorder="1"/>
    <xf numFmtId="0" fontId="8" fillId="3" borderId="9" xfId="0" applyFont="1" applyFill="1" applyBorder="1"/>
    <xf numFmtId="170" fontId="10" fillId="4" borderId="10" xfId="0" applyNumberFormat="1" applyFont="1" applyFill="1" applyBorder="1"/>
    <xf numFmtId="0" fontId="12" fillId="3" borderId="11" xfId="0" applyFont="1" applyFill="1" applyBorder="1" applyAlignment="1">
      <alignment horizontal="center"/>
    </xf>
    <xf numFmtId="0" fontId="13" fillId="3" borderId="0" xfId="0" applyFont="1" applyFill="1"/>
    <xf numFmtId="169" fontId="12" fillId="3" borderId="3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3" borderId="1" xfId="0" applyFont="1" applyFill="1" applyBorder="1"/>
    <xf numFmtId="0" fontId="13" fillId="4" borderId="0" xfId="0" applyFont="1" applyFill="1"/>
    <xf numFmtId="0" fontId="13" fillId="0" borderId="0" xfId="0" applyFont="1"/>
    <xf numFmtId="0" fontId="0" fillId="3" borderId="2" xfId="0" applyFill="1" applyBorder="1"/>
    <xf numFmtId="0" fontId="12" fillId="3" borderId="3" xfId="0" applyFont="1" applyFill="1" applyBorder="1" applyAlignment="1">
      <alignment horizontal="center"/>
    </xf>
    <xf numFmtId="169" fontId="12" fillId="3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0" fillId="3" borderId="0" xfId="0" applyFill="1"/>
    <xf numFmtId="0" fontId="0" fillId="3" borderId="4" xfId="0" applyFill="1" applyBorder="1"/>
    <xf numFmtId="0" fontId="14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textRotation="90" wrapText="1"/>
    </xf>
    <xf numFmtId="0" fontId="15" fillId="3" borderId="5" xfId="0" applyFont="1" applyFill="1" applyBorder="1" applyAlignment="1">
      <alignment horizontal="center" vertical="center" textRotation="90" wrapText="1"/>
    </xf>
    <xf numFmtId="0" fontId="10" fillId="5" borderId="5" xfId="0" applyFont="1" applyFill="1" applyBorder="1" applyAlignment="1">
      <alignment horizontal="center" vertical="center" textRotation="90" wrapText="1"/>
    </xf>
    <xf numFmtId="169" fontId="10" fillId="3" borderId="5" xfId="1" applyNumberFormat="1" applyFont="1" applyFill="1" applyBorder="1" applyAlignment="1">
      <alignment horizontal="center" vertical="center" wrapText="1"/>
    </xf>
    <xf numFmtId="0" fontId="10" fillId="3" borderId="5" xfId="1" quotePrefix="1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vertical="top" wrapText="1"/>
    </xf>
    <xf numFmtId="169" fontId="10" fillId="3" borderId="5" xfId="1" quotePrefix="1" applyNumberFormat="1" applyFont="1" applyFill="1" applyBorder="1" applyAlignment="1">
      <alignment horizontal="center" vertical="center" wrapText="1"/>
    </xf>
    <xf numFmtId="3" fontId="10" fillId="3" borderId="5" xfId="1" quotePrefix="1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 wrapText="1"/>
    </xf>
    <xf numFmtId="0" fontId="10" fillId="3" borderId="5" xfId="0" quotePrefix="1" applyFont="1" applyFill="1" applyBorder="1" applyAlignment="1">
      <alignment horizontal="center" vertical="center" textRotation="90" wrapText="1"/>
    </xf>
    <xf numFmtId="0" fontId="20" fillId="3" borderId="5" xfId="0" applyFont="1" applyFill="1" applyBorder="1" applyAlignment="1">
      <alignment vertical="top" wrapText="1"/>
    </xf>
    <xf numFmtId="171" fontId="10" fillId="3" borderId="5" xfId="1" applyNumberFormat="1" applyFont="1" applyFill="1" applyBorder="1" applyAlignment="1">
      <alignment horizontal="center" vertical="center" wrapText="1"/>
    </xf>
    <xf numFmtId="3" fontId="10" fillId="3" borderId="5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9" fontId="0" fillId="3" borderId="0" xfId="1" applyNumberFormat="1" applyFont="1" applyFill="1"/>
    <xf numFmtId="0" fontId="18" fillId="3" borderId="0" xfId="0" applyFont="1" applyFill="1" applyAlignment="1">
      <alignment vertical="top" wrapText="1"/>
    </xf>
    <xf numFmtId="169" fontId="10" fillId="3" borderId="0" xfId="1" applyNumberFormat="1" applyFont="1" applyFill="1" applyAlignment="1">
      <alignment horizontal="center" vertical="center"/>
    </xf>
    <xf numFmtId="1" fontId="10" fillId="3" borderId="0" xfId="0" applyNumberFormat="1" applyFont="1" applyFill="1" applyAlignment="1">
      <alignment horizontal="center" vertical="center"/>
    </xf>
    <xf numFmtId="169" fontId="10" fillId="3" borderId="5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20" fillId="3" borderId="5" xfId="2" applyFont="1" applyFill="1" applyBorder="1" applyAlignment="1">
      <alignment vertical="top" wrapText="1"/>
    </xf>
    <xf numFmtId="169" fontId="3" fillId="3" borderId="0" xfId="1" applyNumberFormat="1" applyFont="1" applyFill="1"/>
    <xf numFmtId="0" fontId="0" fillId="3" borderId="0" xfId="1" applyNumberFormat="1" applyFont="1" applyFill="1"/>
    <xf numFmtId="3" fontId="0" fillId="3" borderId="0" xfId="1" applyNumberFormat="1" applyFont="1" applyFill="1"/>
    <xf numFmtId="0" fontId="22" fillId="3" borderId="5" xfId="0" applyFont="1" applyFill="1" applyBorder="1" applyAlignment="1">
      <alignment horizontal="center" vertical="center" wrapText="1"/>
    </xf>
    <xf numFmtId="3" fontId="0" fillId="3" borderId="0" xfId="0" applyNumberFormat="1" applyFill="1"/>
    <xf numFmtId="172" fontId="10" fillId="3" borderId="5" xfId="1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0" borderId="0" xfId="0" applyFont="1"/>
    <xf numFmtId="169" fontId="9" fillId="3" borderId="7" xfId="1" applyNumberFormat="1" applyFont="1" applyFill="1" applyBorder="1"/>
    <xf numFmtId="169" fontId="9" fillId="3" borderId="8" xfId="0" applyNumberFormat="1" applyFont="1" applyFill="1" applyBorder="1" applyAlignment="1">
      <alignment horizontal="left"/>
    </xf>
    <xf numFmtId="0" fontId="10" fillId="3" borderId="7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/>
    </xf>
    <xf numFmtId="3" fontId="10" fillId="5" borderId="5" xfId="1" applyNumberFormat="1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0" fillId="5" borderId="5" xfId="0" applyFill="1" applyBorder="1"/>
    <xf numFmtId="0" fontId="24" fillId="3" borderId="5" xfId="0" applyFont="1" applyFill="1" applyBorder="1"/>
    <xf numFmtId="0" fontId="25" fillId="3" borderId="5" xfId="0" applyFont="1" applyFill="1" applyBorder="1" applyAlignment="1">
      <alignment horizontal="center" vertical="top" wrapText="1"/>
    </xf>
    <xf numFmtId="0" fontId="18" fillId="4" borderId="0" xfId="0" applyFont="1" applyFill="1" applyAlignment="1">
      <alignment vertical="top" wrapText="1"/>
    </xf>
    <xf numFmtId="1" fontId="26" fillId="0" borderId="0" xfId="0" quotePrefix="1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3" borderId="12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7" fontId="3" fillId="3" borderId="6" xfId="0" applyNumberFormat="1" applyFont="1" applyFill="1" applyBorder="1" applyAlignment="1">
      <alignment horizontal="center" vertical="center" wrapText="1"/>
    </xf>
    <xf numFmtId="168" fontId="3" fillId="3" borderId="7" xfId="0" applyNumberFormat="1" applyFont="1" applyFill="1" applyBorder="1" applyAlignment="1">
      <alignment horizontal="center" vertical="center" wrapText="1"/>
    </xf>
    <xf numFmtId="168" fontId="3" fillId="3" borderId="8" xfId="0" applyNumberFormat="1" applyFont="1" applyFill="1" applyBorder="1" applyAlignment="1">
      <alignment horizontal="center" vertical="center" wrapText="1"/>
    </xf>
    <xf numFmtId="166" fontId="3" fillId="3" borderId="5" xfId="0" applyNumberFormat="1" applyFont="1" applyFill="1" applyBorder="1" applyAlignment="1">
      <alignment horizontal="center" vertical="center" wrapText="1"/>
    </xf>
    <xf numFmtId="169" fontId="9" fillId="3" borderId="9" xfId="0" applyNumberFormat="1" applyFont="1" applyFill="1" applyBorder="1" applyAlignment="1">
      <alignment horizontal="center"/>
    </xf>
    <xf numFmtId="169" fontId="9" fillId="3" borderId="8" xfId="0" applyNumberFormat="1" applyFont="1" applyFill="1" applyBorder="1" applyAlignment="1">
      <alignment horizontal="center"/>
    </xf>
    <xf numFmtId="170" fontId="10" fillId="3" borderId="5" xfId="0" applyNumberFormat="1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  <xf numFmtId="173" fontId="3" fillId="3" borderId="5" xfId="0" applyNumberFormat="1" applyFont="1" applyFill="1" applyBorder="1" applyAlignment="1">
      <alignment horizontal="center" vertical="center" wrapText="1"/>
    </xf>
    <xf numFmtId="170" fontId="10" fillId="3" borderId="7" xfId="0" applyNumberFormat="1" applyFont="1" applyFill="1" applyBorder="1" applyAlignment="1">
      <alignment horizontal="center"/>
    </xf>
    <xf numFmtId="170" fontId="10" fillId="3" borderId="9" xfId="0" applyNumberFormat="1" applyFont="1" applyFill="1" applyBorder="1" applyAlignment="1">
      <alignment horizontal="center"/>
    </xf>
    <xf numFmtId="170" fontId="10" fillId="3" borderId="8" xfId="0" applyNumberFormat="1" applyFont="1" applyFill="1" applyBorder="1" applyAlignment="1">
      <alignment horizontal="center"/>
    </xf>
    <xf numFmtId="0" fontId="15" fillId="2" borderId="0" xfId="0" quotePrefix="1" applyFont="1" applyFill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0" fontId="15" fillId="2" borderId="3" xfId="0" quotePrefix="1" applyFont="1" applyFill="1" applyBorder="1" applyAlignment="1">
      <alignment horizontal="center" vertical="center" wrapText="1"/>
    </xf>
    <xf numFmtId="0" fontId="15" fillId="2" borderId="4" xfId="0" quotePrefix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11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AD35B770-18AF-4E4F-BDFA-8F674D1F10D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jpeg"/><Relationship Id="rId21" Type="http://schemas.openxmlformats.org/officeDocument/2006/relationships/image" Target="../media/image20.jpeg"/><Relationship Id="rId42" Type="http://schemas.openxmlformats.org/officeDocument/2006/relationships/image" Target="../media/image41.jpeg"/><Relationship Id="rId63" Type="http://schemas.openxmlformats.org/officeDocument/2006/relationships/image" Target="../media/image62.jpeg"/><Relationship Id="rId84" Type="http://schemas.openxmlformats.org/officeDocument/2006/relationships/image" Target="../media/image83.jpeg"/><Relationship Id="rId138" Type="http://schemas.openxmlformats.org/officeDocument/2006/relationships/image" Target="../media/image137.jpeg"/><Relationship Id="rId159" Type="http://schemas.openxmlformats.org/officeDocument/2006/relationships/image" Target="../media/image158.jpeg"/><Relationship Id="rId170" Type="http://schemas.openxmlformats.org/officeDocument/2006/relationships/image" Target="../media/image169.jpeg"/><Relationship Id="rId107" Type="http://schemas.openxmlformats.org/officeDocument/2006/relationships/image" Target="../media/image106.jpeg"/><Relationship Id="rId11" Type="http://schemas.openxmlformats.org/officeDocument/2006/relationships/hyperlink" Target="https://www.tcdb.com/ViewCard.cfm/sid/2076/cid/11464491/1990-91-Fleer-26-Michael-Jordan" TargetMode="External"/><Relationship Id="rId32" Type="http://schemas.openxmlformats.org/officeDocument/2006/relationships/image" Target="../media/image31.jpeg"/><Relationship Id="rId53" Type="http://schemas.openxmlformats.org/officeDocument/2006/relationships/image" Target="../media/image52.jpeg"/><Relationship Id="rId74" Type="http://schemas.openxmlformats.org/officeDocument/2006/relationships/image" Target="../media/image73.jpeg"/><Relationship Id="rId128" Type="http://schemas.openxmlformats.org/officeDocument/2006/relationships/image" Target="../media/image127.jpeg"/><Relationship Id="rId149" Type="http://schemas.openxmlformats.org/officeDocument/2006/relationships/image" Target="../media/image148.jpeg"/><Relationship Id="rId5" Type="http://schemas.openxmlformats.org/officeDocument/2006/relationships/image" Target="../media/image5.jpeg"/><Relationship Id="rId95" Type="http://schemas.openxmlformats.org/officeDocument/2006/relationships/image" Target="../media/image94.jpeg"/><Relationship Id="rId160" Type="http://schemas.openxmlformats.org/officeDocument/2006/relationships/image" Target="../media/image159.jpeg"/><Relationship Id="rId181" Type="http://schemas.openxmlformats.org/officeDocument/2006/relationships/image" Target="../media/image179.jpeg"/><Relationship Id="rId22" Type="http://schemas.openxmlformats.org/officeDocument/2006/relationships/image" Target="../media/image21.jpeg"/><Relationship Id="rId43" Type="http://schemas.openxmlformats.org/officeDocument/2006/relationships/image" Target="../media/image42.jpeg"/><Relationship Id="rId64" Type="http://schemas.openxmlformats.org/officeDocument/2006/relationships/image" Target="../media/image63.jpeg"/><Relationship Id="rId118" Type="http://schemas.openxmlformats.org/officeDocument/2006/relationships/image" Target="../media/image117.jpeg"/><Relationship Id="rId139" Type="http://schemas.openxmlformats.org/officeDocument/2006/relationships/image" Target="../media/image138.png"/><Relationship Id="rId85" Type="http://schemas.openxmlformats.org/officeDocument/2006/relationships/image" Target="../media/image84.jpeg"/><Relationship Id="rId150" Type="http://schemas.openxmlformats.org/officeDocument/2006/relationships/image" Target="../media/image149.jpeg"/><Relationship Id="rId171" Type="http://schemas.openxmlformats.org/officeDocument/2006/relationships/image" Target="cid:a40b98ee-3467-4d56-a85d-d1205e2e2036@eurprd07.prod.outlook.com" TargetMode="External"/><Relationship Id="rId12" Type="http://schemas.openxmlformats.org/officeDocument/2006/relationships/image" Target="../media/image11.jpeg"/><Relationship Id="rId33" Type="http://schemas.openxmlformats.org/officeDocument/2006/relationships/image" Target="../media/image32.jpeg"/><Relationship Id="rId108" Type="http://schemas.openxmlformats.org/officeDocument/2006/relationships/image" Target="../media/image107.jpeg"/><Relationship Id="rId129" Type="http://schemas.openxmlformats.org/officeDocument/2006/relationships/image" Target="../media/image128.jpeg"/><Relationship Id="rId54" Type="http://schemas.openxmlformats.org/officeDocument/2006/relationships/image" Target="../media/image53.jpeg"/><Relationship Id="rId75" Type="http://schemas.openxmlformats.org/officeDocument/2006/relationships/image" Target="../media/image74.jpeg"/><Relationship Id="rId96" Type="http://schemas.openxmlformats.org/officeDocument/2006/relationships/image" Target="../media/image95.jpeg"/><Relationship Id="rId140" Type="http://schemas.openxmlformats.org/officeDocument/2006/relationships/image" Target="../media/image139.jpeg"/><Relationship Id="rId161" Type="http://schemas.openxmlformats.org/officeDocument/2006/relationships/image" Target="../media/image160.jpeg"/><Relationship Id="rId182" Type="http://schemas.openxmlformats.org/officeDocument/2006/relationships/image" Target="../media/image180.jpeg"/><Relationship Id="rId6" Type="http://schemas.openxmlformats.org/officeDocument/2006/relationships/image" Target="../media/image6.jpeg"/><Relationship Id="rId23" Type="http://schemas.openxmlformats.org/officeDocument/2006/relationships/image" Target="../media/image22.jpeg"/><Relationship Id="rId119" Type="http://schemas.openxmlformats.org/officeDocument/2006/relationships/image" Target="../media/image118.jpeg"/><Relationship Id="rId44" Type="http://schemas.openxmlformats.org/officeDocument/2006/relationships/image" Target="../media/image43.jpeg"/><Relationship Id="rId65" Type="http://schemas.openxmlformats.org/officeDocument/2006/relationships/image" Target="../media/image64.jpeg"/><Relationship Id="rId86" Type="http://schemas.openxmlformats.org/officeDocument/2006/relationships/image" Target="../media/image85.jpeg"/><Relationship Id="rId130" Type="http://schemas.openxmlformats.org/officeDocument/2006/relationships/image" Target="../media/image129.jpeg"/><Relationship Id="rId151" Type="http://schemas.openxmlformats.org/officeDocument/2006/relationships/image" Target="../media/image150.jpeg"/><Relationship Id="rId172" Type="http://schemas.openxmlformats.org/officeDocument/2006/relationships/image" Target="../media/image170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9" Type="http://schemas.openxmlformats.org/officeDocument/2006/relationships/image" Target="../media/image38.jpeg"/><Relationship Id="rId109" Type="http://schemas.openxmlformats.org/officeDocument/2006/relationships/image" Target="../media/image108.jpeg"/><Relationship Id="rId34" Type="http://schemas.openxmlformats.org/officeDocument/2006/relationships/image" Target="../media/image33.jpeg"/><Relationship Id="rId50" Type="http://schemas.openxmlformats.org/officeDocument/2006/relationships/image" Target="../media/image49.jpeg"/><Relationship Id="rId55" Type="http://schemas.openxmlformats.org/officeDocument/2006/relationships/image" Target="../media/image54.jpeg"/><Relationship Id="rId76" Type="http://schemas.openxmlformats.org/officeDocument/2006/relationships/image" Target="../media/image75.jpeg"/><Relationship Id="rId97" Type="http://schemas.openxmlformats.org/officeDocument/2006/relationships/image" Target="../media/image96.jpeg"/><Relationship Id="rId104" Type="http://schemas.openxmlformats.org/officeDocument/2006/relationships/image" Target="../media/image103.jpeg"/><Relationship Id="rId120" Type="http://schemas.openxmlformats.org/officeDocument/2006/relationships/image" Target="../media/image119.jpeg"/><Relationship Id="rId125" Type="http://schemas.openxmlformats.org/officeDocument/2006/relationships/image" Target="../media/image124.jpeg"/><Relationship Id="rId141" Type="http://schemas.openxmlformats.org/officeDocument/2006/relationships/image" Target="../media/image140.jpeg"/><Relationship Id="rId146" Type="http://schemas.openxmlformats.org/officeDocument/2006/relationships/image" Target="../media/image145.jpeg"/><Relationship Id="rId167" Type="http://schemas.openxmlformats.org/officeDocument/2006/relationships/image" Target="../media/image166.jpeg"/><Relationship Id="rId7" Type="http://schemas.openxmlformats.org/officeDocument/2006/relationships/image" Target="../media/image7.jpeg"/><Relationship Id="rId71" Type="http://schemas.openxmlformats.org/officeDocument/2006/relationships/image" Target="../media/image70.jpeg"/><Relationship Id="rId92" Type="http://schemas.openxmlformats.org/officeDocument/2006/relationships/image" Target="../media/image91.jpeg"/><Relationship Id="rId162" Type="http://schemas.openxmlformats.org/officeDocument/2006/relationships/image" Target="../media/image161.jpeg"/><Relationship Id="rId183" Type="http://schemas.openxmlformats.org/officeDocument/2006/relationships/image" Target="../media/image181.jpeg"/><Relationship Id="rId2" Type="http://schemas.openxmlformats.org/officeDocument/2006/relationships/image" Target="../media/image2.jpeg"/><Relationship Id="rId29" Type="http://schemas.openxmlformats.org/officeDocument/2006/relationships/image" Target="../media/image28.jpeg"/><Relationship Id="rId24" Type="http://schemas.openxmlformats.org/officeDocument/2006/relationships/image" Target="../media/image23.jpe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66" Type="http://schemas.openxmlformats.org/officeDocument/2006/relationships/image" Target="../media/image65.jpeg"/><Relationship Id="rId87" Type="http://schemas.openxmlformats.org/officeDocument/2006/relationships/image" Target="../media/image86.jpeg"/><Relationship Id="rId110" Type="http://schemas.openxmlformats.org/officeDocument/2006/relationships/image" Target="../media/image109.jpeg"/><Relationship Id="rId115" Type="http://schemas.openxmlformats.org/officeDocument/2006/relationships/image" Target="../media/image114.jpeg"/><Relationship Id="rId131" Type="http://schemas.openxmlformats.org/officeDocument/2006/relationships/image" Target="../media/image130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jpeg"/><Relationship Id="rId178" Type="http://schemas.openxmlformats.org/officeDocument/2006/relationships/image" Target="../media/image176.jpeg"/><Relationship Id="rId61" Type="http://schemas.openxmlformats.org/officeDocument/2006/relationships/image" Target="../media/image60.jpeg"/><Relationship Id="rId82" Type="http://schemas.openxmlformats.org/officeDocument/2006/relationships/image" Target="../media/image81.jpeg"/><Relationship Id="rId152" Type="http://schemas.openxmlformats.org/officeDocument/2006/relationships/image" Target="../media/image151.jpeg"/><Relationship Id="rId173" Type="http://schemas.openxmlformats.org/officeDocument/2006/relationships/image" Target="../media/image171.jpeg"/><Relationship Id="rId19" Type="http://schemas.openxmlformats.org/officeDocument/2006/relationships/image" Target="../media/image18.jpeg"/><Relationship Id="rId14" Type="http://schemas.openxmlformats.org/officeDocument/2006/relationships/image" Target="../media/image13.jpe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Relationship Id="rId56" Type="http://schemas.openxmlformats.org/officeDocument/2006/relationships/image" Target="../media/image55.jpeg"/><Relationship Id="rId77" Type="http://schemas.openxmlformats.org/officeDocument/2006/relationships/image" Target="../media/image76.jpeg"/><Relationship Id="rId100" Type="http://schemas.openxmlformats.org/officeDocument/2006/relationships/image" Target="../media/image99.jpeg"/><Relationship Id="rId105" Type="http://schemas.openxmlformats.org/officeDocument/2006/relationships/image" Target="../media/image104.jpeg"/><Relationship Id="rId126" Type="http://schemas.openxmlformats.org/officeDocument/2006/relationships/image" Target="../media/image125.jpeg"/><Relationship Id="rId147" Type="http://schemas.openxmlformats.org/officeDocument/2006/relationships/image" Target="../media/image146.jpeg"/><Relationship Id="rId168" Type="http://schemas.openxmlformats.org/officeDocument/2006/relationships/image" Target="../media/image167.jpeg"/><Relationship Id="rId8" Type="http://schemas.openxmlformats.org/officeDocument/2006/relationships/image" Target="../media/image8.jpeg"/><Relationship Id="rId51" Type="http://schemas.openxmlformats.org/officeDocument/2006/relationships/image" Target="../media/image50.jpeg"/><Relationship Id="rId72" Type="http://schemas.openxmlformats.org/officeDocument/2006/relationships/image" Target="../media/image71.jpeg"/><Relationship Id="rId93" Type="http://schemas.openxmlformats.org/officeDocument/2006/relationships/image" Target="../media/image92.jpeg"/><Relationship Id="rId98" Type="http://schemas.openxmlformats.org/officeDocument/2006/relationships/image" Target="../media/image97.jpeg"/><Relationship Id="rId121" Type="http://schemas.openxmlformats.org/officeDocument/2006/relationships/image" Target="../media/image120.jpeg"/><Relationship Id="rId142" Type="http://schemas.openxmlformats.org/officeDocument/2006/relationships/image" Target="../media/image141.jpeg"/><Relationship Id="rId163" Type="http://schemas.openxmlformats.org/officeDocument/2006/relationships/image" Target="../media/image162.jpeg"/><Relationship Id="rId184" Type="http://schemas.openxmlformats.org/officeDocument/2006/relationships/image" Target="../media/image182.jpeg"/><Relationship Id="rId3" Type="http://schemas.openxmlformats.org/officeDocument/2006/relationships/image" Target="../media/image3.jpeg"/><Relationship Id="rId25" Type="http://schemas.openxmlformats.org/officeDocument/2006/relationships/image" Target="../media/image24.jpeg"/><Relationship Id="rId46" Type="http://schemas.openxmlformats.org/officeDocument/2006/relationships/image" Target="../media/image45.jpeg"/><Relationship Id="rId67" Type="http://schemas.openxmlformats.org/officeDocument/2006/relationships/image" Target="../media/image66.jpeg"/><Relationship Id="rId116" Type="http://schemas.openxmlformats.org/officeDocument/2006/relationships/image" Target="../media/image115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62" Type="http://schemas.openxmlformats.org/officeDocument/2006/relationships/image" Target="../media/image61.jpeg"/><Relationship Id="rId83" Type="http://schemas.openxmlformats.org/officeDocument/2006/relationships/image" Target="../media/image82.jpeg"/><Relationship Id="rId88" Type="http://schemas.openxmlformats.org/officeDocument/2006/relationships/image" Target="../media/image87.jpeg"/><Relationship Id="rId111" Type="http://schemas.openxmlformats.org/officeDocument/2006/relationships/image" Target="../media/image110.jpeg"/><Relationship Id="rId132" Type="http://schemas.openxmlformats.org/officeDocument/2006/relationships/image" Target="../media/image131.jpeg"/><Relationship Id="rId153" Type="http://schemas.openxmlformats.org/officeDocument/2006/relationships/image" Target="../media/image152.jpeg"/><Relationship Id="rId174" Type="http://schemas.openxmlformats.org/officeDocument/2006/relationships/image" Target="../media/image172.jpeg"/><Relationship Id="rId179" Type="http://schemas.openxmlformats.org/officeDocument/2006/relationships/image" Target="../media/image177.jpeg"/><Relationship Id="rId15" Type="http://schemas.openxmlformats.org/officeDocument/2006/relationships/image" Target="../media/image14.jpeg"/><Relationship Id="rId36" Type="http://schemas.openxmlformats.org/officeDocument/2006/relationships/image" Target="../media/image35.jpeg"/><Relationship Id="rId57" Type="http://schemas.openxmlformats.org/officeDocument/2006/relationships/image" Target="../media/image56.jpeg"/><Relationship Id="rId106" Type="http://schemas.openxmlformats.org/officeDocument/2006/relationships/image" Target="../media/image105.jpeg"/><Relationship Id="rId127" Type="http://schemas.openxmlformats.org/officeDocument/2006/relationships/image" Target="../media/image126.jpeg"/><Relationship Id="rId10" Type="http://schemas.openxmlformats.org/officeDocument/2006/relationships/image" Target="../media/image10.jpeg"/><Relationship Id="rId31" Type="http://schemas.openxmlformats.org/officeDocument/2006/relationships/image" Target="../media/image30.jpeg"/><Relationship Id="rId52" Type="http://schemas.openxmlformats.org/officeDocument/2006/relationships/image" Target="../media/image51.jpeg"/><Relationship Id="rId73" Type="http://schemas.openxmlformats.org/officeDocument/2006/relationships/image" Target="../media/image72.jpeg"/><Relationship Id="rId78" Type="http://schemas.openxmlformats.org/officeDocument/2006/relationships/image" Target="../media/image77.jpeg"/><Relationship Id="rId94" Type="http://schemas.openxmlformats.org/officeDocument/2006/relationships/image" Target="../media/image93.jpeg"/><Relationship Id="rId99" Type="http://schemas.openxmlformats.org/officeDocument/2006/relationships/image" Target="../media/image98.jpeg"/><Relationship Id="rId101" Type="http://schemas.openxmlformats.org/officeDocument/2006/relationships/image" Target="../media/image100.jpeg"/><Relationship Id="rId122" Type="http://schemas.openxmlformats.org/officeDocument/2006/relationships/image" Target="../media/image121.jpeg"/><Relationship Id="rId143" Type="http://schemas.openxmlformats.org/officeDocument/2006/relationships/image" Target="../media/image142.jpeg"/><Relationship Id="rId148" Type="http://schemas.openxmlformats.org/officeDocument/2006/relationships/image" Target="../media/image147.jpeg"/><Relationship Id="rId164" Type="http://schemas.openxmlformats.org/officeDocument/2006/relationships/image" Target="../media/image163.jpeg"/><Relationship Id="rId169" Type="http://schemas.openxmlformats.org/officeDocument/2006/relationships/image" Target="../media/image168.jpeg"/><Relationship Id="rId185" Type="http://schemas.openxmlformats.org/officeDocument/2006/relationships/image" Target="../media/image18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78.jpeg"/><Relationship Id="rId26" Type="http://schemas.openxmlformats.org/officeDocument/2006/relationships/image" Target="../media/image25.jpeg"/><Relationship Id="rId47" Type="http://schemas.openxmlformats.org/officeDocument/2006/relationships/image" Target="../media/image46.jpeg"/><Relationship Id="rId68" Type="http://schemas.openxmlformats.org/officeDocument/2006/relationships/image" Target="../media/image67.jpeg"/><Relationship Id="rId89" Type="http://schemas.openxmlformats.org/officeDocument/2006/relationships/image" Target="../media/image88.jpeg"/><Relationship Id="rId112" Type="http://schemas.openxmlformats.org/officeDocument/2006/relationships/image" Target="../media/image111.jpeg"/><Relationship Id="rId133" Type="http://schemas.openxmlformats.org/officeDocument/2006/relationships/image" Target="../media/image132.jpeg"/><Relationship Id="rId154" Type="http://schemas.openxmlformats.org/officeDocument/2006/relationships/image" Target="../media/image153.jpeg"/><Relationship Id="rId175" Type="http://schemas.openxmlformats.org/officeDocument/2006/relationships/image" Target="../media/image173.jpeg"/><Relationship Id="rId16" Type="http://schemas.openxmlformats.org/officeDocument/2006/relationships/image" Target="../media/image15.jpeg"/><Relationship Id="rId37" Type="http://schemas.openxmlformats.org/officeDocument/2006/relationships/image" Target="../media/image36.jpeg"/><Relationship Id="rId58" Type="http://schemas.openxmlformats.org/officeDocument/2006/relationships/image" Target="../media/image57.jpeg"/><Relationship Id="rId79" Type="http://schemas.openxmlformats.org/officeDocument/2006/relationships/image" Target="../media/image78.jpeg"/><Relationship Id="rId102" Type="http://schemas.openxmlformats.org/officeDocument/2006/relationships/image" Target="../media/image101.jpeg"/><Relationship Id="rId123" Type="http://schemas.openxmlformats.org/officeDocument/2006/relationships/image" Target="../media/image122.jpeg"/><Relationship Id="rId144" Type="http://schemas.openxmlformats.org/officeDocument/2006/relationships/image" Target="../media/image143.jpeg"/><Relationship Id="rId90" Type="http://schemas.openxmlformats.org/officeDocument/2006/relationships/image" Target="../media/image89.jpeg"/><Relationship Id="rId165" Type="http://schemas.openxmlformats.org/officeDocument/2006/relationships/image" Target="../media/image164.jpeg"/><Relationship Id="rId27" Type="http://schemas.openxmlformats.org/officeDocument/2006/relationships/image" Target="../media/image26.jpeg"/><Relationship Id="rId48" Type="http://schemas.openxmlformats.org/officeDocument/2006/relationships/image" Target="../media/image47.jpeg"/><Relationship Id="rId69" Type="http://schemas.openxmlformats.org/officeDocument/2006/relationships/image" Target="../media/image68.jpeg"/><Relationship Id="rId113" Type="http://schemas.openxmlformats.org/officeDocument/2006/relationships/image" Target="../media/image112.jpeg"/><Relationship Id="rId134" Type="http://schemas.openxmlformats.org/officeDocument/2006/relationships/image" Target="../media/image133.jpeg"/><Relationship Id="rId80" Type="http://schemas.openxmlformats.org/officeDocument/2006/relationships/image" Target="../media/image79.jpeg"/><Relationship Id="rId155" Type="http://schemas.openxmlformats.org/officeDocument/2006/relationships/image" Target="../media/image154.jpeg"/><Relationship Id="rId176" Type="http://schemas.openxmlformats.org/officeDocument/2006/relationships/image" Target="../media/image174.jpeg"/><Relationship Id="rId17" Type="http://schemas.openxmlformats.org/officeDocument/2006/relationships/image" Target="../media/image16.jpeg"/><Relationship Id="rId38" Type="http://schemas.openxmlformats.org/officeDocument/2006/relationships/image" Target="../media/image37.jpeg"/><Relationship Id="rId59" Type="http://schemas.openxmlformats.org/officeDocument/2006/relationships/image" Target="../media/image58.jpeg"/><Relationship Id="rId103" Type="http://schemas.openxmlformats.org/officeDocument/2006/relationships/image" Target="../media/image102.jpeg"/><Relationship Id="rId124" Type="http://schemas.openxmlformats.org/officeDocument/2006/relationships/image" Target="../media/image123.jpeg"/><Relationship Id="rId70" Type="http://schemas.openxmlformats.org/officeDocument/2006/relationships/image" Target="../media/image69.jpeg"/><Relationship Id="rId91" Type="http://schemas.openxmlformats.org/officeDocument/2006/relationships/image" Target="../media/image90.jpeg"/><Relationship Id="rId145" Type="http://schemas.openxmlformats.org/officeDocument/2006/relationships/image" Target="../media/image144.jpeg"/><Relationship Id="rId166" Type="http://schemas.openxmlformats.org/officeDocument/2006/relationships/image" Target="../media/image165.jpeg"/><Relationship Id="rId1" Type="http://schemas.openxmlformats.org/officeDocument/2006/relationships/image" Target="../media/image1.jpeg"/><Relationship Id="rId28" Type="http://schemas.openxmlformats.org/officeDocument/2006/relationships/image" Target="../media/image27.jpeg"/><Relationship Id="rId49" Type="http://schemas.openxmlformats.org/officeDocument/2006/relationships/image" Target="../media/image48.jpeg"/><Relationship Id="rId114" Type="http://schemas.openxmlformats.org/officeDocument/2006/relationships/image" Target="../media/image113.jpeg"/><Relationship Id="rId60" Type="http://schemas.openxmlformats.org/officeDocument/2006/relationships/image" Target="../media/image59.jpeg"/><Relationship Id="rId81" Type="http://schemas.openxmlformats.org/officeDocument/2006/relationships/image" Target="../media/image80.jpeg"/><Relationship Id="rId135" Type="http://schemas.openxmlformats.org/officeDocument/2006/relationships/image" Target="../media/image134.jpeg"/><Relationship Id="rId156" Type="http://schemas.openxmlformats.org/officeDocument/2006/relationships/image" Target="../media/image155.jpeg"/><Relationship Id="rId177" Type="http://schemas.openxmlformats.org/officeDocument/2006/relationships/image" Target="../media/image175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6.jpeg"/><Relationship Id="rId18" Type="http://schemas.openxmlformats.org/officeDocument/2006/relationships/image" Target="../media/image201.jpeg"/><Relationship Id="rId26" Type="http://schemas.openxmlformats.org/officeDocument/2006/relationships/image" Target="../media/image209.jpeg"/><Relationship Id="rId39" Type="http://schemas.openxmlformats.org/officeDocument/2006/relationships/image" Target="../media/image222.jpeg"/><Relationship Id="rId21" Type="http://schemas.openxmlformats.org/officeDocument/2006/relationships/image" Target="../media/image204.jpeg"/><Relationship Id="rId34" Type="http://schemas.openxmlformats.org/officeDocument/2006/relationships/image" Target="../media/image217.png"/><Relationship Id="rId42" Type="http://schemas.openxmlformats.org/officeDocument/2006/relationships/image" Target="../media/image225.jpeg"/><Relationship Id="rId47" Type="http://schemas.openxmlformats.org/officeDocument/2006/relationships/image" Target="../media/image230.jpeg"/><Relationship Id="rId7" Type="http://schemas.openxmlformats.org/officeDocument/2006/relationships/image" Target="../media/image190.jpeg"/><Relationship Id="rId2" Type="http://schemas.openxmlformats.org/officeDocument/2006/relationships/image" Target="../media/image185.jpeg"/><Relationship Id="rId16" Type="http://schemas.openxmlformats.org/officeDocument/2006/relationships/image" Target="../media/image199.jpeg"/><Relationship Id="rId29" Type="http://schemas.openxmlformats.org/officeDocument/2006/relationships/image" Target="../media/image212.jpeg"/><Relationship Id="rId1" Type="http://schemas.openxmlformats.org/officeDocument/2006/relationships/image" Target="../media/image184.jpeg"/><Relationship Id="rId6" Type="http://schemas.openxmlformats.org/officeDocument/2006/relationships/image" Target="../media/image189.jpeg"/><Relationship Id="rId11" Type="http://schemas.openxmlformats.org/officeDocument/2006/relationships/image" Target="../media/image194.jpeg"/><Relationship Id="rId24" Type="http://schemas.openxmlformats.org/officeDocument/2006/relationships/image" Target="../media/image207.jpeg"/><Relationship Id="rId32" Type="http://schemas.openxmlformats.org/officeDocument/2006/relationships/image" Target="../media/image215.jpeg"/><Relationship Id="rId37" Type="http://schemas.openxmlformats.org/officeDocument/2006/relationships/image" Target="../media/image220.jpeg"/><Relationship Id="rId40" Type="http://schemas.openxmlformats.org/officeDocument/2006/relationships/image" Target="../media/image223.jpeg"/><Relationship Id="rId45" Type="http://schemas.openxmlformats.org/officeDocument/2006/relationships/image" Target="../media/image228.jpeg"/><Relationship Id="rId5" Type="http://schemas.openxmlformats.org/officeDocument/2006/relationships/image" Target="../media/image188.png"/><Relationship Id="rId15" Type="http://schemas.openxmlformats.org/officeDocument/2006/relationships/image" Target="../media/image198.jpeg"/><Relationship Id="rId23" Type="http://schemas.openxmlformats.org/officeDocument/2006/relationships/image" Target="../media/image206.jpeg"/><Relationship Id="rId28" Type="http://schemas.openxmlformats.org/officeDocument/2006/relationships/image" Target="../media/image211.jpeg"/><Relationship Id="rId36" Type="http://schemas.openxmlformats.org/officeDocument/2006/relationships/image" Target="../media/image219.jpeg"/><Relationship Id="rId10" Type="http://schemas.openxmlformats.org/officeDocument/2006/relationships/image" Target="../media/image193.jpeg"/><Relationship Id="rId19" Type="http://schemas.openxmlformats.org/officeDocument/2006/relationships/image" Target="../media/image202.jpeg"/><Relationship Id="rId31" Type="http://schemas.openxmlformats.org/officeDocument/2006/relationships/image" Target="../media/image214.jpeg"/><Relationship Id="rId44" Type="http://schemas.openxmlformats.org/officeDocument/2006/relationships/image" Target="../media/image227.jpeg"/><Relationship Id="rId4" Type="http://schemas.openxmlformats.org/officeDocument/2006/relationships/image" Target="../media/image187.jpeg"/><Relationship Id="rId9" Type="http://schemas.openxmlformats.org/officeDocument/2006/relationships/image" Target="../media/image192.jpeg"/><Relationship Id="rId14" Type="http://schemas.openxmlformats.org/officeDocument/2006/relationships/image" Target="../media/image197.jpeg"/><Relationship Id="rId22" Type="http://schemas.openxmlformats.org/officeDocument/2006/relationships/image" Target="../media/image205.jpeg"/><Relationship Id="rId27" Type="http://schemas.openxmlformats.org/officeDocument/2006/relationships/image" Target="../media/image210.jpeg"/><Relationship Id="rId30" Type="http://schemas.openxmlformats.org/officeDocument/2006/relationships/image" Target="../media/image213.jpeg"/><Relationship Id="rId35" Type="http://schemas.openxmlformats.org/officeDocument/2006/relationships/image" Target="../media/image218.jpeg"/><Relationship Id="rId43" Type="http://schemas.openxmlformats.org/officeDocument/2006/relationships/image" Target="../media/image226.jpeg"/><Relationship Id="rId48" Type="http://schemas.openxmlformats.org/officeDocument/2006/relationships/image" Target="../media/image231.jpeg"/><Relationship Id="rId8" Type="http://schemas.openxmlformats.org/officeDocument/2006/relationships/image" Target="../media/image191.jpeg"/><Relationship Id="rId3" Type="http://schemas.openxmlformats.org/officeDocument/2006/relationships/image" Target="../media/image186.jpeg"/><Relationship Id="rId12" Type="http://schemas.openxmlformats.org/officeDocument/2006/relationships/image" Target="../media/image195.png"/><Relationship Id="rId17" Type="http://schemas.openxmlformats.org/officeDocument/2006/relationships/image" Target="../media/image200.jpeg"/><Relationship Id="rId25" Type="http://schemas.openxmlformats.org/officeDocument/2006/relationships/image" Target="../media/image208.jpeg"/><Relationship Id="rId33" Type="http://schemas.openxmlformats.org/officeDocument/2006/relationships/image" Target="../media/image216.jpeg"/><Relationship Id="rId38" Type="http://schemas.openxmlformats.org/officeDocument/2006/relationships/image" Target="../media/image221.jpeg"/><Relationship Id="rId46" Type="http://schemas.openxmlformats.org/officeDocument/2006/relationships/image" Target="../media/image229.jpeg"/><Relationship Id="rId20" Type="http://schemas.openxmlformats.org/officeDocument/2006/relationships/image" Target="../media/image203.jpeg"/><Relationship Id="rId41" Type="http://schemas.openxmlformats.org/officeDocument/2006/relationships/image" Target="../media/image2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6</xdr:row>
      <xdr:rowOff>17318</xdr:rowOff>
    </xdr:from>
    <xdr:ext cx="1025525" cy="1428750"/>
    <xdr:pic>
      <xdr:nvPicPr>
        <xdr:cNvPr id="2" name="Picture 1" descr="https://www.tcdb.com/Images/Thumbs/Basketball/2067/2067_618527RepThumb2.jpg">
          <a:extLst>
            <a:ext uri="{FF2B5EF4-FFF2-40B4-BE49-F238E27FC236}">
              <a16:creationId xmlns:a16="http://schemas.microsoft.com/office/drawing/2014/main" id="{0A0B62B3-6628-4A3D-93F7-907AA37B2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674668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17319</xdr:colOff>
      <xdr:row>7</xdr:row>
      <xdr:rowOff>34636</xdr:rowOff>
    </xdr:from>
    <xdr:ext cx="1028700" cy="1428750"/>
    <xdr:pic>
      <xdr:nvPicPr>
        <xdr:cNvPr id="3" name="Picture 2" descr="https://www.tcdb.com/Images/Thumbs/Basketball/2068/2068_8Thumb2.jpg">
          <a:extLst>
            <a:ext uri="{FF2B5EF4-FFF2-40B4-BE49-F238E27FC236}">
              <a16:creationId xmlns:a16="http://schemas.microsoft.com/office/drawing/2014/main" id="{69FB009C-EDAF-4C56-8311-76C5D46E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0969" y="3406486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31460</xdr:colOff>
      <xdr:row>6</xdr:row>
      <xdr:rowOff>12414</xdr:rowOff>
    </xdr:from>
    <xdr:ext cx="1038225" cy="1435100"/>
    <xdr:pic>
      <xdr:nvPicPr>
        <xdr:cNvPr id="4" name="Picture 3" descr="https://www.tcdb.com/Images/Thumbs/Basketball/2069/2069_618672RepThumb2.jpg">
          <a:extLst>
            <a:ext uri="{FF2B5EF4-FFF2-40B4-BE49-F238E27FC236}">
              <a16:creationId xmlns:a16="http://schemas.microsoft.com/office/drawing/2014/main" id="{60824B00-D5FF-4DBC-A308-4206D69FA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2435" y="1672939"/>
          <a:ext cx="1038225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34637</xdr:colOff>
      <xdr:row>7</xdr:row>
      <xdr:rowOff>17318</xdr:rowOff>
    </xdr:from>
    <xdr:ext cx="1028700" cy="1428750"/>
    <xdr:pic>
      <xdr:nvPicPr>
        <xdr:cNvPr id="5" name="Picture 4" descr="https://www.tcdb.com/Images/Thumbs/Basketball/2070/2070_618747RepThumb2.jpg">
          <a:extLst>
            <a:ext uri="{FF2B5EF4-FFF2-40B4-BE49-F238E27FC236}">
              <a16:creationId xmlns:a16="http://schemas.microsoft.com/office/drawing/2014/main" id="{1FF71AD7-7542-4945-829C-C2F7F520D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2437" y="3389168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28286</xdr:colOff>
      <xdr:row>6</xdr:row>
      <xdr:rowOff>31176</xdr:rowOff>
    </xdr:from>
    <xdr:ext cx="1028700" cy="1431925"/>
    <xdr:pic>
      <xdr:nvPicPr>
        <xdr:cNvPr id="6" name="Picture 5" descr="https://www.tcdb.com/Images/Thumbs/Basketball/2071/2071_618773RepThumb2.jpg">
          <a:extLst>
            <a:ext uri="{FF2B5EF4-FFF2-40B4-BE49-F238E27FC236}">
              <a16:creationId xmlns:a16="http://schemas.microsoft.com/office/drawing/2014/main" id="{DA26A423-4DDE-43C8-95F6-786E52C4A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03411" y="1691701"/>
          <a:ext cx="1028700" cy="143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17319</xdr:colOff>
      <xdr:row>7</xdr:row>
      <xdr:rowOff>7794</xdr:rowOff>
    </xdr:from>
    <xdr:ext cx="1009650" cy="1428750"/>
    <xdr:pic>
      <xdr:nvPicPr>
        <xdr:cNvPr id="7" name="Picture 6" descr="https://www.tcdb.com/Images/Thumbs/Basketball/2071/2071_120Thumb2.jpg">
          <a:extLst>
            <a:ext uri="{FF2B5EF4-FFF2-40B4-BE49-F238E27FC236}">
              <a16:creationId xmlns:a16="http://schemas.microsoft.com/office/drawing/2014/main" id="{3D738A19-0F16-4EE1-BBFD-693E0C4C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9269" y="3382819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51954</xdr:colOff>
      <xdr:row>8</xdr:row>
      <xdr:rowOff>17318</xdr:rowOff>
    </xdr:from>
    <xdr:ext cx="1019175" cy="1428750"/>
    <xdr:pic>
      <xdr:nvPicPr>
        <xdr:cNvPr id="8" name="Picture 7" descr="https://www.tcdb.com/Images/Thumbs/Basketball/2072/2072_7Thumb2.jpg">
          <a:extLst>
            <a:ext uri="{FF2B5EF4-FFF2-40B4-BE49-F238E27FC236}">
              <a16:creationId xmlns:a16="http://schemas.microsoft.com/office/drawing/2014/main" id="{C2780672-0C34-44F6-9410-3767C22D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7079" y="5103668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7</xdr:row>
      <xdr:rowOff>0</xdr:rowOff>
    </xdr:from>
    <xdr:ext cx="1025525" cy="1428750"/>
    <xdr:pic>
      <xdr:nvPicPr>
        <xdr:cNvPr id="9" name="Picture 8" descr="https://www.tcdb.com/Images/Thumbs/Basketball/2074/2074_3Thumb2.jpg">
          <a:extLst>
            <a:ext uri="{FF2B5EF4-FFF2-40B4-BE49-F238E27FC236}">
              <a16:creationId xmlns:a16="http://schemas.microsoft.com/office/drawing/2014/main" id="{5C988F59-EECA-4CE6-BE90-68B159008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76100" y="3371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17318</xdr:colOff>
      <xdr:row>6</xdr:row>
      <xdr:rowOff>17318</xdr:rowOff>
    </xdr:from>
    <xdr:ext cx="1028700" cy="1428750"/>
    <xdr:pic>
      <xdr:nvPicPr>
        <xdr:cNvPr id="10" name="Picture 9" descr="https://www.tcdb.com/Images/Thumbs/Basketball/2073/2073_786391RepThumb2.jpg">
          <a:extLst>
            <a:ext uri="{FF2B5EF4-FFF2-40B4-BE49-F238E27FC236}">
              <a16:creationId xmlns:a16="http://schemas.microsoft.com/office/drawing/2014/main" id="{06AE52C0-B511-4419-9CDD-5B96340E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93418" y="1674668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6</xdr:row>
      <xdr:rowOff>0</xdr:rowOff>
    </xdr:from>
    <xdr:ext cx="1025525" cy="1428750"/>
    <xdr:pic>
      <xdr:nvPicPr>
        <xdr:cNvPr id="11" name="Picture 10" descr="https://www.tcdb.com/Images/Thumbs/Basketball/2076/2076_660822RepThumb2.jpg">
          <a:extLst>
            <a:ext uri="{FF2B5EF4-FFF2-40B4-BE49-F238E27FC236}">
              <a16:creationId xmlns:a16="http://schemas.microsoft.com/office/drawing/2014/main" id="{FE34D244-6C9A-449F-9246-13905C7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0250" y="1657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8</xdr:row>
      <xdr:rowOff>0</xdr:rowOff>
    </xdr:from>
    <xdr:ext cx="1006475" cy="1428750"/>
    <xdr:pic>
      <xdr:nvPicPr>
        <xdr:cNvPr id="12" name="Picture 11" descr="https://www.tcdb.com/Images/Thumbs/Basketball/2076/2076_11464491RepThumb2.jp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1D06026-1073-4C67-94C4-D6719CB5B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0250" y="50863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8</xdr:row>
      <xdr:rowOff>0</xdr:rowOff>
    </xdr:from>
    <xdr:ext cx="1025525" cy="1428750"/>
    <xdr:pic>
      <xdr:nvPicPr>
        <xdr:cNvPr id="13" name="Picture 12" descr="https://www.tcdb.com/Images/Thumbs/Basketball/2077/2077_5Thumb2.jpg">
          <a:extLst>
            <a:ext uri="{FF2B5EF4-FFF2-40B4-BE49-F238E27FC236}">
              <a16:creationId xmlns:a16="http://schemas.microsoft.com/office/drawing/2014/main" id="{1F4F5452-C335-480B-98E2-7155B4DE5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0250" y="5086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6</xdr:row>
      <xdr:rowOff>0</xdr:rowOff>
    </xdr:from>
    <xdr:ext cx="1025525" cy="1428750"/>
    <xdr:pic>
      <xdr:nvPicPr>
        <xdr:cNvPr id="14" name="Picture 13" descr="https://www.tcdb.com/Images/Thumbs/Basketball/2082/2082_663199RepThumb2.jpg">
          <a:extLst>
            <a:ext uri="{FF2B5EF4-FFF2-40B4-BE49-F238E27FC236}">
              <a16:creationId xmlns:a16="http://schemas.microsoft.com/office/drawing/2014/main" id="{E1876BB3-00E3-428D-8753-4B52C4F27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1657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8</xdr:row>
      <xdr:rowOff>0</xdr:rowOff>
    </xdr:from>
    <xdr:ext cx="1028700" cy="1428750"/>
    <xdr:pic>
      <xdr:nvPicPr>
        <xdr:cNvPr id="15" name="Picture 14" descr="https://www.tcdb.com/Images/Thumbs/Basketball/2082/2082_211Thumb2.jpg">
          <a:extLst>
            <a:ext uri="{FF2B5EF4-FFF2-40B4-BE49-F238E27FC236}">
              <a16:creationId xmlns:a16="http://schemas.microsoft.com/office/drawing/2014/main" id="{03080FAA-0E8E-426F-9E1A-2EFBC1B23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5086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9</xdr:row>
      <xdr:rowOff>0</xdr:rowOff>
    </xdr:from>
    <xdr:ext cx="1025525" cy="1428750"/>
    <xdr:pic>
      <xdr:nvPicPr>
        <xdr:cNvPr id="16" name="Picture 15" descr="https://www.tcdb.com/Images/Thumbs/Basketball/2082/2082_663390RepThumb2.jpg">
          <a:extLst>
            <a:ext uri="{FF2B5EF4-FFF2-40B4-BE49-F238E27FC236}">
              <a16:creationId xmlns:a16="http://schemas.microsoft.com/office/drawing/2014/main" id="{A4B9998F-CBCB-44BB-B3C4-C024344A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6800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6783</xdr:colOff>
      <xdr:row>10</xdr:row>
      <xdr:rowOff>13711</xdr:rowOff>
    </xdr:from>
    <xdr:ext cx="996950" cy="1426152"/>
    <xdr:pic>
      <xdr:nvPicPr>
        <xdr:cNvPr id="17" name="Picture 16" descr="https://www.tcdb.com/Images/Thumbs/Basketball/2082/2082_233Thumb2.jpg">
          <a:extLst>
            <a:ext uri="{FF2B5EF4-FFF2-40B4-BE49-F238E27FC236}">
              <a16:creationId xmlns:a16="http://schemas.microsoft.com/office/drawing/2014/main" id="{BCBE8017-9235-4145-A093-443E2BC0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2779757" y="8746837"/>
          <a:ext cx="1426152" cy="99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6783</xdr:colOff>
      <xdr:row>11</xdr:row>
      <xdr:rowOff>13711</xdr:rowOff>
    </xdr:from>
    <xdr:ext cx="1000125" cy="1426152"/>
    <xdr:pic>
      <xdr:nvPicPr>
        <xdr:cNvPr id="18" name="Picture 17" descr="https://www.tcdb.com/Images/Thumbs/Basketball/2082/2082_237Thumb2.jpg">
          <a:extLst>
            <a:ext uri="{FF2B5EF4-FFF2-40B4-BE49-F238E27FC236}">
              <a16:creationId xmlns:a16="http://schemas.microsoft.com/office/drawing/2014/main" id="{47BCFE97-B27E-4828-B72E-8ADB2A34A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2781345" y="10459749"/>
          <a:ext cx="1426152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12</xdr:row>
      <xdr:rowOff>0</xdr:rowOff>
    </xdr:from>
    <xdr:ext cx="1006475" cy="1428750"/>
    <xdr:pic>
      <xdr:nvPicPr>
        <xdr:cNvPr id="19" name="Picture 18" descr="https://www.tcdb.com/Images/Thumbs/Basketball/2082/2082_238Thumb2.jpg">
          <a:extLst>
            <a:ext uri="{FF2B5EF4-FFF2-40B4-BE49-F238E27FC236}">
              <a16:creationId xmlns:a16="http://schemas.microsoft.com/office/drawing/2014/main" id="{23719583-BCCA-49A7-979D-F2A0BF62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119443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13</xdr:row>
      <xdr:rowOff>0</xdr:rowOff>
    </xdr:from>
    <xdr:ext cx="1025525" cy="1428750"/>
    <xdr:pic>
      <xdr:nvPicPr>
        <xdr:cNvPr id="20" name="Picture 19" descr="https://www.tcdb.com/Images/Thumbs/Basketball/2082/2082_663546RepThumb2.jpg">
          <a:extLst>
            <a:ext uri="{FF2B5EF4-FFF2-40B4-BE49-F238E27FC236}">
              <a16:creationId xmlns:a16="http://schemas.microsoft.com/office/drawing/2014/main" id="{94E97307-C959-47E7-BA2C-FDC2E99E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13658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14</xdr:row>
      <xdr:rowOff>0</xdr:rowOff>
    </xdr:from>
    <xdr:ext cx="1028700" cy="1428750"/>
    <xdr:pic>
      <xdr:nvPicPr>
        <xdr:cNvPr id="21" name="Picture 20" descr="https://www.tcdb.com/Images/Thumbs/Basketball/136396/136396_9047452Thumb2.jpg">
          <a:extLst>
            <a:ext uri="{FF2B5EF4-FFF2-40B4-BE49-F238E27FC236}">
              <a16:creationId xmlns:a16="http://schemas.microsoft.com/office/drawing/2014/main" id="{930FFB10-9431-40C8-BE87-39AB30C8A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15373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7</xdr:row>
      <xdr:rowOff>0</xdr:rowOff>
    </xdr:from>
    <xdr:ext cx="1019175" cy="1428750"/>
    <xdr:pic>
      <xdr:nvPicPr>
        <xdr:cNvPr id="22" name="Picture 21" descr="https://www.tcdb.com/Images/Thumbs/Basketball/72865/72865_5253689Thumb2.jpg">
          <a:extLst>
            <a:ext uri="{FF2B5EF4-FFF2-40B4-BE49-F238E27FC236}">
              <a16:creationId xmlns:a16="http://schemas.microsoft.com/office/drawing/2014/main" id="{3F16177D-9FA3-4B7E-9BAA-B2156E61F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3371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15</xdr:row>
      <xdr:rowOff>0</xdr:rowOff>
    </xdr:from>
    <xdr:ext cx="1028700" cy="1428750"/>
    <xdr:pic>
      <xdr:nvPicPr>
        <xdr:cNvPr id="23" name="Picture 22" descr="https://www.tcdb.com/Images/Thumbs/Basketball/136396/136396_9047452Thumb2.jpg">
          <a:extLst>
            <a:ext uri="{FF2B5EF4-FFF2-40B4-BE49-F238E27FC236}">
              <a16:creationId xmlns:a16="http://schemas.microsoft.com/office/drawing/2014/main" id="{32FD573B-4A48-4729-AD5A-ED75359DD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17087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6</xdr:row>
      <xdr:rowOff>0</xdr:rowOff>
    </xdr:from>
    <xdr:ext cx="1009650" cy="1428750"/>
    <xdr:pic>
      <xdr:nvPicPr>
        <xdr:cNvPr id="24" name="Picture 23" descr="https://www.tcdb.com/Images/Thumbs/Basketball/2096/2096_668903RepThumb2.jpg">
          <a:extLst>
            <a:ext uri="{FF2B5EF4-FFF2-40B4-BE49-F238E27FC236}">
              <a16:creationId xmlns:a16="http://schemas.microsoft.com/office/drawing/2014/main" id="{2627B64D-DCD2-491D-8807-B515D1C75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1657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10</xdr:row>
      <xdr:rowOff>0</xdr:rowOff>
    </xdr:from>
    <xdr:ext cx="1009650" cy="1428750"/>
    <xdr:pic>
      <xdr:nvPicPr>
        <xdr:cNvPr id="25" name="Picture 24" descr="https://www.tcdb.com/Images/Thumbs/Basketball/2096/2096_669109RepThumb2.jpg">
          <a:extLst>
            <a:ext uri="{FF2B5EF4-FFF2-40B4-BE49-F238E27FC236}">
              <a16:creationId xmlns:a16="http://schemas.microsoft.com/office/drawing/2014/main" id="{BE70CA47-A4BF-4A2A-A4C1-740A74D70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8515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11</xdr:row>
      <xdr:rowOff>0</xdr:rowOff>
    </xdr:from>
    <xdr:ext cx="1025525" cy="1428750"/>
    <xdr:pic>
      <xdr:nvPicPr>
        <xdr:cNvPr id="26" name="Picture 25" descr="https://www.tcdb.com/Images/Thumbs/Basketball/2096/2096_246Thumb2.jpg">
          <a:extLst>
            <a:ext uri="{FF2B5EF4-FFF2-40B4-BE49-F238E27FC236}">
              <a16:creationId xmlns:a16="http://schemas.microsoft.com/office/drawing/2014/main" id="{DBA7AC2D-BB34-4A36-9A85-13C43E3B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10229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12</xdr:row>
      <xdr:rowOff>0</xdr:rowOff>
    </xdr:from>
    <xdr:ext cx="1025525" cy="1428750"/>
    <xdr:pic>
      <xdr:nvPicPr>
        <xdr:cNvPr id="27" name="Picture 26" descr="https://www.tcdb.com/Images/Thumbs/Basketball/2096/2096_273Thumb2.jpg">
          <a:extLst>
            <a:ext uri="{FF2B5EF4-FFF2-40B4-BE49-F238E27FC236}">
              <a16:creationId xmlns:a16="http://schemas.microsoft.com/office/drawing/2014/main" id="{639217E5-E555-470B-8390-975FD9BC0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11944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11402</xdr:colOff>
      <xdr:row>14</xdr:row>
      <xdr:rowOff>9093</xdr:rowOff>
    </xdr:from>
    <xdr:ext cx="1028700" cy="1403928"/>
    <xdr:pic>
      <xdr:nvPicPr>
        <xdr:cNvPr id="28" name="Picture 27" descr="https://www.tcdb.com/Images/Thumbs/Basketball/2096/2096_9175852Thumb2.jpg">
          <a:extLst>
            <a:ext uri="{FF2B5EF4-FFF2-40B4-BE49-F238E27FC236}">
              <a16:creationId xmlns:a16="http://schemas.microsoft.com/office/drawing/2014/main" id="{EFD336BA-B64D-459D-ACCB-43AA9C70B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615513" y="15573232"/>
          <a:ext cx="140392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6639</xdr:colOff>
      <xdr:row>15</xdr:row>
      <xdr:rowOff>8948</xdr:rowOff>
    </xdr:from>
    <xdr:ext cx="1009650" cy="1445203"/>
    <xdr:pic>
      <xdr:nvPicPr>
        <xdr:cNvPr id="29" name="Picture 28" descr="https://www.tcdb.com/Images/Thumbs/Basketball/2097/2097_6Thumb2.jpg">
          <a:extLst>
            <a:ext uri="{FF2B5EF4-FFF2-40B4-BE49-F238E27FC236}">
              <a16:creationId xmlns:a16="http://schemas.microsoft.com/office/drawing/2014/main" id="{18BE3791-1995-4DCA-A60F-8D6E979A1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580587" y="17317750"/>
          <a:ext cx="1445203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16</xdr:row>
      <xdr:rowOff>0</xdr:rowOff>
    </xdr:from>
    <xdr:ext cx="1028700" cy="1428750"/>
    <xdr:pic>
      <xdr:nvPicPr>
        <xdr:cNvPr id="30" name="Picture 29" descr="https://www.tcdb.com/Images/Thumbs/Basketball/2101/2101_2990117RepThumb2.jpg">
          <a:extLst>
            <a:ext uri="{FF2B5EF4-FFF2-40B4-BE49-F238E27FC236}">
              <a16:creationId xmlns:a16="http://schemas.microsoft.com/office/drawing/2014/main" id="{F4123B2D-D3B6-47BE-80B3-2BCF58A2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18802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17</xdr:row>
      <xdr:rowOff>0</xdr:rowOff>
    </xdr:from>
    <xdr:ext cx="1025525" cy="1428750"/>
    <xdr:pic>
      <xdr:nvPicPr>
        <xdr:cNvPr id="31" name="Picture 30" descr="https://www.tcdb.com/Images/Thumbs/Basketball/2102/2102_2990145RepThumb2.jpg">
          <a:extLst>
            <a:ext uri="{FF2B5EF4-FFF2-40B4-BE49-F238E27FC236}">
              <a16:creationId xmlns:a16="http://schemas.microsoft.com/office/drawing/2014/main" id="{E49210FE-1447-4DA6-8F76-E1089B7A9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20516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9</xdr:row>
      <xdr:rowOff>0</xdr:rowOff>
    </xdr:from>
    <xdr:ext cx="1019175" cy="1428750"/>
    <xdr:pic>
      <xdr:nvPicPr>
        <xdr:cNvPr id="32" name="Picture 31" descr="https://www.tcdb.com/Images/Thumbs/Basketball/62684/62684_7Thumb2.jpg">
          <a:extLst>
            <a:ext uri="{FF2B5EF4-FFF2-40B4-BE49-F238E27FC236}">
              <a16:creationId xmlns:a16="http://schemas.microsoft.com/office/drawing/2014/main" id="{4F08AF04-F905-4AA2-88EC-A05037B3E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6800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13</xdr:row>
      <xdr:rowOff>0</xdr:rowOff>
    </xdr:from>
    <xdr:ext cx="1028700" cy="1428750"/>
    <xdr:pic>
      <xdr:nvPicPr>
        <xdr:cNvPr id="33" name="Picture 32" descr="https://www.tcdb.com/Images/Thumbs/Basketball/75536/75536_5945835Thumb2.jpg">
          <a:extLst>
            <a:ext uri="{FF2B5EF4-FFF2-40B4-BE49-F238E27FC236}">
              <a16:creationId xmlns:a16="http://schemas.microsoft.com/office/drawing/2014/main" id="{E3620950-45C7-4741-B168-2425DCC06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13658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7</xdr:row>
      <xdr:rowOff>0</xdr:rowOff>
    </xdr:from>
    <xdr:ext cx="981075" cy="1428750"/>
    <xdr:pic>
      <xdr:nvPicPr>
        <xdr:cNvPr id="34" name="Picture 33" descr="https://www.tcdb.com/Images/Thumbs/Basketball/86458/86458_8423881Thumb2.jpg">
          <a:extLst>
            <a:ext uri="{FF2B5EF4-FFF2-40B4-BE49-F238E27FC236}">
              <a16:creationId xmlns:a16="http://schemas.microsoft.com/office/drawing/2014/main" id="{6D43A702-8FD3-4A5D-97FC-F7B5B0EDC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3371850"/>
          <a:ext cx="9810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8</xdr:row>
      <xdr:rowOff>0</xdr:rowOff>
    </xdr:from>
    <xdr:ext cx="1028700" cy="1428750"/>
    <xdr:pic>
      <xdr:nvPicPr>
        <xdr:cNvPr id="35" name="Picture 34" descr="https://www.tcdb.com/Images/Thumbs/Basketball/199809/199809_12777948Thumb2.jpg">
          <a:extLst>
            <a:ext uri="{FF2B5EF4-FFF2-40B4-BE49-F238E27FC236}">
              <a16:creationId xmlns:a16="http://schemas.microsoft.com/office/drawing/2014/main" id="{861E1D47-6BB7-4881-96A1-472B47DF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5086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6</xdr:row>
      <xdr:rowOff>0</xdr:rowOff>
    </xdr:from>
    <xdr:ext cx="1006475" cy="1428750"/>
    <xdr:pic>
      <xdr:nvPicPr>
        <xdr:cNvPr id="36" name="Picture 35" descr="https://www.tcdb.com/Images/Thumbs/Basketball/2118/2118_27Thumb2.jpg">
          <a:extLst>
            <a:ext uri="{FF2B5EF4-FFF2-40B4-BE49-F238E27FC236}">
              <a16:creationId xmlns:a16="http://schemas.microsoft.com/office/drawing/2014/main" id="{61BAC145-848F-400F-9B0F-AABC4062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16573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7</xdr:row>
      <xdr:rowOff>0</xdr:rowOff>
    </xdr:from>
    <xdr:ext cx="1025525" cy="1428750"/>
    <xdr:pic>
      <xdr:nvPicPr>
        <xdr:cNvPr id="37" name="Picture 36" descr="https://www.tcdb.com/Images/Thumbs/Basketball/2118/2118_216Thumb2.jpg">
          <a:extLst>
            <a:ext uri="{FF2B5EF4-FFF2-40B4-BE49-F238E27FC236}">
              <a16:creationId xmlns:a16="http://schemas.microsoft.com/office/drawing/2014/main" id="{769EB215-0A31-4CD0-83C9-9F51E60F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3371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9</xdr:row>
      <xdr:rowOff>0</xdr:rowOff>
    </xdr:from>
    <xdr:ext cx="1028700" cy="1428750"/>
    <xdr:pic>
      <xdr:nvPicPr>
        <xdr:cNvPr id="38" name="Picture 37" descr="https://www.tcdb.com/Images/Thumbs/Basketball/2119/2119_4Thumb2.jpg">
          <a:extLst>
            <a:ext uri="{FF2B5EF4-FFF2-40B4-BE49-F238E27FC236}">
              <a16:creationId xmlns:a16="http://schemas.microsoft.com/office/drawing/2014/main" id="{37FFDCE1-DBB5-4B59-922C-B5F1EC0F6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6800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19341</xdr:colOff>
      <xdr:row>8</xdr:row>
      <xdr:rowOff>12123</xdr:rowOff>
    </xdr:from>
    <xdr:ext cx="1009650" cy="1445202"/>
    <xdr:pic>
      <xdr:nvPicPr>
        <xdr:cNvPr id="39" name="Picture 38" descr="https://www.tcdb.com/Images/Thumbs/Basketball/266949/266949_16381452Thumb2.jpg">
          <a:extLst>
            <a:ext uri="{FF2B5EF4-FFF2-40B4-BE49-F238E27FC236}">
              <a16:creationId xmlns:a16="http://schemas.microsoft.com/office/drawing/2014/main" id="{5D2D0359-F75E-4C8D-9B36-7ADC4B5E9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8394265" y="5319424"/>
          <a:ext cx="1445202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10</xdr:row>
      <xdr:rowOff>0</xdr:rowOff>
    </xdr:from>
    <xdr:ext cx="1025525" cy="1428750"/>
    <xdr:pic>
      <xdr:nvPicPr>
        <xdr:cNvPr id="40" name="Picture 39" descr="https://www.tcdb.com/Images/Thumbs/Basketball/2121/2121_1Thumb2.jpg">
          <a:extLst>
            <a:ext uri="{FF2B5EF4-FFF2-40B4-BE49-F238E27FC236}">
              <a16:creationId xmlns:a16="http://schemas.microsoft.com/office/drawing/2014/main" id="{E915D410-E25B-4C02-9384-51DDA0D6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8515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13</xdr:row>
      <xdr:rowOff>0</xdr:rowOff>
    </xdr:from>
    <xdr:ext cx="1019175" cy="1428750"/>
    <xdr:pic>
      <xdr:nvPicPr>
        <xdr:cNvPr id="41" name="Picture 40" descr="https://www.tcdb.com/Images/Thumbs/Basketball/2481/2481_2283484Thumb2.jpg">
          <a:extLst>
            <a:ext uri="{FF2B5EF4-FFF2-40B4-BE49-F238E27FC236}">
              <a16:creationId xmlns:a16="http://schemas.microsoft.com/office/drawing/2014/main" id="{733108BF-CF55-46FE-9ABF-5F8341B9F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8350" y="13658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15</xdr:row>
      <xdr:rowOff>0</xdr:rowOff>
    </xdr:from>
    <xdr:ext cx="1016000" cy="1428750"/>
    <xdr:pic>
      <xdr:nvPicPr>
        <xdr:cNvPr id="42" name="Picture 41" descr="https://www.tcdb.com/Images/Thumbs/Basketball/2505/2505_3010463Thumb2.jpg">
          <a:extLst>
            <a:ext uri="{FF2B5EF4-FFF2-40B4-BE49-F238E27FC236}">
              <a16:creationId xmlns:a16="http://schemas.microsoft.com/office/drawing/2014/main" id="{4DDB863E-C590-4E45-846F-0750A5BE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84150" y="17087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23</xdr:row>
      <xdr:rowOff>0</xdr:rowOff>
    </xdr:from>
    <xdr:ext cx="1019175" cy="1428750"/>
    <xdr:pic>
      <xdr:nvPicPr>
        <xdr:cNvPr id="43" name="Picture 42" descr="https://www.tcdb.com/Images/Thumbs/Basketball/2585/2585_3013252Thumb2.jpg">
          <a:extLst>
            <a:ext uri="{FF2B5EF4-FFF2-40B4-BE49-F238E27FC236}">
              <a16:creationId xmlns:a16="http://schemas.microsoft.com/office/drawing/2014/main" id="{762227E8-76CB-4FAC-B444-58D415AAA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30803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16</xdr:row>
      <xdr:rowOff>0</xdr:rowOff>
    </xdr:from>
    <xdr:ext cx="1016000" cy="1428750"/>
    <xdr:pic>
      <xdr:nvPicPr>
        <xdr:cNvPr id="44" name="Picture 43" descr="https://www.tcdb.com/Images/Thumbs/Basketball/2628/2628_5Thumb2.jpg">
          <a:extLst>
            <a:ext uri="{FF2B5EF4-FFF2-40B4-BE49-F238E27FC236}">
              <a16:creationId xmlns:a16="http://schemas.microsoft.com/office/drawing/2014/main" id="{CD0FB5E5-49C2-41B1-9F19-6F4605564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88300" y="18802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1</xdr:colOff>
      <xdr:row>17</xdr:row>
      <xdr:rowOff>0</xdr:rowOff>
    </xdr:from>
    <xdr:ext cx="1059584" cy="1446123"/>
    <xdr:pic>
      <xdr:nvPicPr>
        <xdr:cNvPr id="45" name="Picture 44" descr="1997-98 Fleer Decade of Excellence Rare Traditions #5 Michael Jordan">
          <a:extLst>
            <a:ext uri="{FF2B5EF4-FFF2-40B4-BE49-F238E27FC236}">
              <a16:creationId xmlns:a16="http://schemas.microsoft.com/office/drawing/2014/main" id="{062C582A-8A0E-48A3-92F3-C192DBB9B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88301" y="20516850"/>
          <a:ext cx="1059584" cy="1446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6</xdr:row>
      <xdr:rowOff>0</xdr:rowOff>
    </xdr:from>
    <xdr:ext cx="1009650" cy="1428750"/>
    <xdr:pic>
      <xdr:nvPicPr>
        <xdr:cNvPr id="46" name="Picture 45" descr="https://www.tcdb.com/Images/Thumbs/Basketball/2715/2715_23Thumb2.jpg">
          <a:extLst>
            <a:ext uri="{FF2B5EF4-FFF2-40B4-BE49-F238E27FC236}">
              <a16:creationId xmlns:a16="http://schemas.microsoft.com/office/drawing/2014/main" id="{99CB7C7F-6DD9-4E51-B01D-7FA64DA9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1657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9</xdr:row>
      <xdr:rowOff>17318</xdr:rowOff>
    </xdr:from>
    <xdr:ext cx="1019175" cy="1428750"/>
    <xdr:pic>
      <xdr:nvPicPr>
        <xdr:cNvPr id="47" name="Picture 46" descr="https://www.tcdb.com/Images/Thumbs/Basketball/2715/2715_259Thumb2.jpg">
          <a:extLst>
            <a:ext uri="{FF2B5EF4-FFF2-40B4-BE49-F238E27FC236}">
              <a16:creationId xmlns:a16="http://schemas.microsoft.com/office/drawing/2014/main" id="{3711492E-4E93-4593-9FE4-0057A3DA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6818168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22</xdr:row>
      <xdr:rowOff>0</xdr:rowOff>
    </xdr:from>
    <xdr:ext cx="1028700" cy="1428750"/>
    <xdr:pic>
      <xdr:nvPicPr>
        <xdr:cNvPr id="48" name="Picture 47" descr="https://www.tcdb.com/Images/Thumbs/Basketball/2717/2717_1Thumb2.jpg">
          <a:extLst>
            <a:ext uri="{FF2B5EF4-FFF2-40B4-BE49-F238E27FC236}">
              <a16:creationId xmlns:a16="http://schemas.microsoft.com/office/drawing/2014/main" id="{866A833A-D585-44D2-ACE3-B1E4C90DC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29089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17</xdr:row>
      <xdr:rowOff>0</xdr:rowOff>
    </xdr:from>
    <xdr:ext cx="1019175" cy="1428750"/>
    <xdr:pic>
      <xdr:nvPicPr>
        <xdr:cNvPr id="49" name="Picture 48" descr="https://www.tcdb.com/Images/Thumbs/Basketball/2718/2718_3023067RepThumb2.jpg">
          <a:extLst>
            <a:ext uri="{FF2B5EF4-FFF2-40B4-BE49-F238E27FC236}">
              <a16:creationId xmlns:a16="http://schemas.microsoft.com/office/drawing/2014/main" id="{C76D0365-DEBB-40DD-99C1-36213B1B9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20516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7</xdr:row>
      <xdr:rowOff>0</xdr:rowOff>
    </xdr:from>
    <xdr:ext cx="1019175" cy="1428750"/>
    <xdr:pic>
      <xdr:nvPicPr>
        <xdr:cNvPr id="50" name="Picture 49" descr="https://www.tcdb.com/Images/Thumbs/Basketball/25830/25830_3023109Thumb2.jpg">
          <a:extLst>
            <a:ext uri="{FF2B5EF4-FFF2-40B4-BE49-F238E27FC236}">
              <a16:creationId xmlns:a16="http://schemas.microsoft.com/office/drawing/2014/main" id="{F8B85CAE-57D6-43F2-B57D-FDD6CF9E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3371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12</xdr:row>
      <xdr:rowOff>0</xdr:rowOff>
    </xdr:from>
    <xdr:ext cx="1009650" cy="1428750"/>
    <xdr:pic>
      <xdr:nvPicPr>
        <xdr:cNvPr id="51" name="Picture 50" descr="https://www.tcdb.com/Images/Thumbs/Basketball/2726/2726_3023990Thumb2.jpg">
          <a:extLst>
            <a:ext uri="{FF2B5EF4-FFF2-40B4-BE49-F238E27FC236}">
              <a16:creationId xmlns:a16="http://schemas.microsoft.com/office/drawing/2014/main" id="{20D543B8-477D-4420-BD0A-71E9DB6E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11944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13</xdr:row>
      <xdr:rowOff>0</xdr:rowOff>
    </xdr:from>
    <xdr:ext cx="1000125" cy="1428750"/>
    <xdr:pic>
      <xdr:nvPicPr>
        <xdr:cNvPr id="52" name="Picture 51" descr="https://www.tcdb.com/Images/Thumbs/Basketball/25832/25832_3024010RepThumb2.jpg">
          <a:extLst>
            <a:ext uri="{FF2B5EF4-FFF2-40B4-BE49-F238E27FC236}">
              <a16:creationId xmlns:a16="http://schemas.microsoft.com/office/drawing/2014/main" id="{386FEB91-7319-4AB4-94C7-95E49860B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136588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14</xdr:row>
      <xdr:rowOff>0</xdr:rowOff>
    </xdr:from>
    <xdr:ext cx="1028700" cy="1428750"/>
    <xdr:pic>
      <xdr:nvPicPr>
        <xdr:cNvPr id="53" name="Picture 52" descr="https://www.tcdb.com/Images/Thumbs/Basketball/25833/25833_3024030Thumb2.jpg">
          <a:extLst>
            <a:ext uri="{FF2B5EF4-FFF2-40B4-BE49-F238E27FC236}">
              <a16:creationId xmlns:a16="http://schemas.microsoft.com/office/drawing/2014/main" id="{B90A7BC9-5A66-4CD8-A32A-49903C07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15373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15</xdr:row>
      <xdr:rowOff>0</xdr:rowOff>
    </xdr:from>
    <xdr:ext cx="1019175" cy="1428750"/>
    <xdr:pic>
      <xdr:nvPicPr>
        <xdr:cNvPr id="54" name="Picture 53" descr="https://www.tcdb.com/Images/Thumbs/Basketball/2727/2727_3024050RepThumb2.jpg">
          <a:extLst>
            <a:ext uri="{FF2B5EF4-FFF2-40B4-BE49-F238E27FC236}">
              <a16:creationId xmlns:a16="http://schemas.microsoft.com/office/drawing/2014/main" id="{9C9762EC-15F5-4E23-A5F1-A2A6C267D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17087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16</xdr:row>
      <xdr:rowOff>0</xdr:rowOff>
    </xdr:from>
    <xdr:ext cx="1019175" cy="1428750"/>
    <xdr:pic>
      <xdr:nvPicPr>
        <xdr:cNvPr id="55" name="Picture 54" descr="https://www.tcdb.com/Images/Thumbs/Basketball/25834/25834_3024070Thumb2.jpg">
          <a:extLst>
            <a:ext uri="{FF2B5EF4-FFF2-40B4-BE49-F238E27FC236}">
              <a16:creationId xmlns:a16="http://schemas.microsoft.com/office/drawing/2014/main" id="{92693BF7-A6D7-4B97-81A6-3C228717B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18802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19</xdr:row>
      <xdr:rowOff>0</xdr:rowOff>
    </xdr:from>
    <xdr:ext cx="1019175" cy="1428750"/>
    <xdr:pic>
      <xdr:nvPicPr>
        <xdr:cNvPr id="56" name="Picture 55" descr="https://www.tcdb.com/Images/Thumbs/Basketball/25835/25835_3024122Thumb2.jpg">
          <a:extLst>
            <a:ext uri="{FF2B5EF4-FFF2-40B4-BE49-F238E27FC236}">
              <a16:creationId xmlns:a16="http://schemas.microsoft.com/office/drawing/2014/main" id="{102F57D5-1FE5-4B07-AFAF-7CF678A21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23945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18</xdr:row>
      <xdr:rowOff>0</xdr:rowOff>
    </xdr:from>
    <xdr:ext cx="1019175" cy="1428750"/>
    <xdr:pic>
      <xdr:nvPicPr>
        <xdr:cNvPr id="57" name="Picture 56" descr="https://www.tcdb.com/Images/Thumbs/Basketball/2729/2729_1Thumb2.jpg">
          <a:extLst>
            <a:ext uri="{FF2B5EF4-FFF2-40B4-BE49-F238E27FC236}">
              <a16:creationId xmlns:a16="http://schemas.microsoft.com/office/drawing/2014/main" id="{81CF5D14-4BF3-4213-BF9D-82C884D0B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22231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20</xdr:row>
      <xdr:rowOff>0</xdr:rowOff>
    </xdr:from>
    <xdr:ext cx="1066800" cy="1428750"/>
    <xdr:pic>
      <xdr:nvPicPr>
        <xdr:cNvPr id="58" name="Picture 57" descr="https://www.tcdb.com/Images/Thumbs/Basketball/25836/25836_3024142Thumb2.jpg">
          <a:extLst>
            <a:ext uri="{FF2B5EF4-FFF2-40B4-BE49-F238E27FC236}">
              <a16:creationId xmlns:a16="http://schemas.microsoft.com/office/drawing/2014/main" id="{F25C298C-6932-4B33-A9F1-314D528D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25660350"/>
          <a:ext cx="10668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21</xdr:row>
      <xdr:rowOff>0</xdr:rowOff>
    </xdr:from>
    <xdr:ext cx="1019175" cy="1428750"/>
    <xdr:pic>
      <xdr:nvPicPr>
        <xdr:cNvPr id="59" name="Picture 58" descr="https://www.tcdb.com/Images/Thumbs/Basketball/2730/2730_VT1Thumb2.jpg">
          <a:extLst>
            <a:ext uri="{FF2B5EF4-FFF2-40B4-BE49-F238E27FC236}">
              <a16:creationId xmlns:a16="http://schemas.microsoft.com/office/drawing/2014/main" id="{EB26B4E8-E4BF-4F80-AC95-BB6B5543D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27374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8</xdr:row>
      <xdr:rowOff>0</xdr:rowOff>
    </xdr:from>
    <xdr:ext cx="1064803" cy="1478395"/>
    <xdr:pic>
      <xdr:nvPicPr>
        <xdr:cNvPr id="60" name="Picture 59" descr="1997-98 Ultra Platinum Medallion #23P Michael Jordan">
          <a:extLst>
            <a:ext uri="{FF2B5EF4-FFF2-40B4-BE49-F238E27FC236}">
              <a16:creationId xmlns:a16="http://schemas.microsoft.com/office/drawing/2014/main" id="{9BF40034-1364-4818-9168-50CEF2D06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87700" y="5086350"/>
          <a:ext cx="1064803" cy="1478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9525</xdr:colOff>
      <xdr:row>6</xdr:row>
      <xdr:rowOff>12412</xdr:rowOff>
    </xdr:from>
    <xdr:ext cx="1016000" cy="1428750"/>
    <xdr:pic>
      <xdr:nvPicPr>
        <xdr:cNvPr id="61" name="Picture 60" descr="https://www.tcdb.com/Images/Thumbs/Basketball/2627/2627_23Thumb2.jpg">
          <a:extLst>
            <a:ext uri="{FF2B5EF4-FFF2-40B4-BE49-F238E27FC236}">
              <a16:creationId xmlns:a16="http://schemas.microsoft.com/office/drawing/2014/main" id="{575F0136-926E-4367-86B9-CFCF75975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85594625" y="1879312"/>
          <a:ext cx="142875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9</xdr:row>
      <xdr:rowOff>0</xdr:rowOff>
    </xdr:from>
    <xdr:ext cx="1028700" cy="1428750"/>
    <xdr:pic>
      <xdr:nvPicPr>
        <xdr:cNvPr id="62" name="Picture 61" descr="https://www.tcdb.com/Images/Thumbs/Basketball/2630/2630_3016986Thumb2.jpg">
          <a:extLst>
            <a:ext uri="{FF2B5EF4-FFF2-40B4-BE49-F238E27FC236}">
              <a16:creationId xmlns:a16="http://schemas.microsoft.com/office/drawing/2014/main" id="{3D0338F9-323E-4076-A151-49617B2A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88300" y="6800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10</xdr:row>
      <xdr:rowOff>0</xdr:rowOff>
    </xdr:from>
    <xdr:ext cx="1016000" cy="1428750"/>
    <xdr:pic>
      <xdr:nvPicPr>
        <xdr:cNvPr id="63" name="Picture 62" descr="https://www.tcdb.com/Images/Thumbs/Basketball/2632/2632_3017022Thumb2.jpg">
          <a:extLst>
            <a:ext uri="{FF2B5EF4-FFF2-40B4-BE49-F238E27FC236}">
              <a16:creationId xmlns:a16="http://schemas.microsoft.com/office/drawing/2014/main" id="{23B0DD39-7896-4A11-89E0-459DD71B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88300" y="8515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12</xdr:row>
      <xdr:rowOff>0</xdr:rowOff>
    </xdr:from>
    <xdr:ext cx="990600" cy="1428750"/>
    <xdr:pic>
      <xdr:nvPicPr>
        <xdr:cNvPr id="64" name="Picture 63" descr="https://www.tcdb.com/Images/Thumbs/Basketball/25778/25778_3017057Thumb2.jpg">
          <a:extLst>
            <a:ext uri="{FF2B5EF4-FFF2-40B4-BE49-F238E27FC236}">
              <a16:creationId xmlns:a16="http://schemas.microsoft.com/office/drawing/2014/main" id="{B4DEC3D0-4056-4E07-BBF0-0EFC8405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88300" y="11944350"/>
          <a:ext cx="9906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11</xdr:row>
      <xdr:rowOff>0</xdr:rowOff>
    </xdr:from>
    <xdr:ext cx="1016000" cy="1428750"/>
    <xdr:pic>
      <xdr:nvPicPr>
        <xdr:cNvPr id="65" name="Picture 64" descr="https://www.tcdb.com/Images/Thumbs/Basketball/2637/2637_9Thumb2.jpg">
          <a:extLst>
            <a:ext uri="{FF2B5EF4-FFF2-40B4-BE49-F238E27FC236}">
              <a16:creationId xmlns:a16="http://schemas.microsoft.com/office/drawing/2014/main" id="{52C65AB9-3733-4349-807E-22B64791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88300" y="10229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13</xdr:row>
      <xdr:rowOff>0</xdr:rowOff>
    </xdr:from>
    <xdr:ext cx="1016000" cy="1428750"/>
    <xdr:pic>
      <xdr:nvPicPr>
        <xdr:cNvPr id="66" name="Picture 65" descr="https://www.tcdb.com/Images/Thumbs/Basketball/2638/2638_3017195Thumb2.jpg">
          <a:extLst>
            <a:ext uri="{FF2B5EF4-FFF2-40B4-BE49-F238E27FC236}">
              <a16:creationId xmlns:a16="http://schemas.microsoft.com/office/drawing/2014/main" id="{A253146F-22BB-4CF5-A05D-2E96DE441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88300" y="13658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14</xdr:row>
      <xdr:rowOff>0</xdr:rowOff>
    </xdr:from>
    <xdr:ext cx="1009650" cy="1428750"/>
    <xdr:pic>
      <xdr:nvPicPr>
        <xdr:cNvPr id="67" name="Picture 66" descr="https://www.tcdb.com/Images/Thumbs/Basketball/2639/2639_3017548Thumb2.jpg">
          <a:extLst>
            <a:ext uri="{FF2B5EF4-FFF2-40B4-BE49-F238E27FC236}">
              <a16:creationId xmlns:a16="http://schemas.microsoft.com/office/drawing/2014/main" id="{0C90BF33-752A-43BB-85EF-FF6B68804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88300" y="15373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9525</xdr:colOff>
      <xdr:row>7</xdr:row>
      <xdr:rowOff>4619</xdr:rowOff>
    </xdr:from>
    <xdr:ext cx="1028700" cy="1428750"/>
    <xdr:pic>
      <xdr:nvPicPr>
        <xdr:cNvPr id="68" name="Picture 67" descr="https://www.tcdb.com/Images/Thumbs/Basketball/25776/25776_3016624Thumb2.jpg">
          <a:extLst>
            <a:ext uri="{FF2B5EF4-FFF2-40B4-BE49-F238E27FC236}">
              <a16:creationId xmlns:a16="http://schemas.microsoft.com/office/drawing/2014/main" id="{9849B801-4DCA-425F-8256-52AE5BE9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85600975" y="3576494"/>
          <a:ext cx="14287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10970</xdr:colOff>
      <xdr:row>8</xdr:row>
      <xdr:rowOff>9238</xdr:rowOff>
    </xdr:from>
    <xdr:ext cx="1009650" cy="1428750"/>
    <xdr:pic>
      <xdr:nvPicPr>
        <xdr:cNvPr id="69" name="Picture 68" descr="https://www.tcdb.com/Images/Thumbs/Basketball/25781/25781_3017221Thumb2.jpg">
          <a:extLst>
            <a:ext uri="{FF2B5EF4-FFF2-40B4-BE49-F238E27FC236}">
              <a16:creationId xmlns:a16="http://schemas.microsoft.com/office/drawing/2014/main" id="{315F13B9-C678-4B0B-BAA4-266C9B24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85592895" y="5308313"/>
          <a:ext cx="14287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15</xdr:row>
      <xdr:rowOff>0</xdr:rowOff>
    </xdr:from>
    <xdr:ext cx="1016000" cy="1428750"/>
    <xdr:pic>
      <xdr:nvPicPr>
        <xdr:cNvPr id="70" name="Picture 69" descr="https://www.tcdb.com/Images/Thumbs/Basketball/2641/2641_3017575Thumb2.jpg">
          <a:extLst>
            <a:ext uri="{FF2B5EF4-FFF2-40B4-BE49-F238E27FC236}">
              <a16:creationId xmlns:a16="http://schemas.microsoft.com/office/drawing/2014/main" id="{6FEF2856-A5E0-4B6E-A535-1DEAC0F8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88300" y="17087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6</xdr:row>
      <xdr:rowOff>0</xdr:rowOff>
    </xdr:from>
    <xdr:ext cx="1016000" cy="1428750"/>
    <xdr:pic>
      <xdr:nvPicPr>
        <xdr:cNvPr id="71" name="Picture 70" descr="https://www.tcdb.com/Images/Thumbs/Basketball/2503/2503_11Thumb2.jpg">
          <a:extLst>
            <a:ext uri="{FF2B5EF4-FFF2-40B4-BE49-F238E27FC236}">
              <a16:creationId xmlns:a16="http://schemas.microsoft.com/office/drawing/2014/main" id="{52AC1D70-0423-4F6C-826A-7E697A85F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84150" y="1657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7</xdr:row>
      <xdr:rowOff>0</xdr:rowOff>
    </xdr:from>
    <xdr:ext cx="1016000" cy="1428750"/>
    <xdr:pic>
      <xdr:nvPicPr>
        <xdr:cNvPr id="72" name="Picture 71" descr="https://www.tcdb.com/Images/Thumbs/Basketball/2503/2503_128Thumb2.jpg">
          <a:extLst>
            <a:ext uri="{FF2B5EF4-FFF2-40B4-BE49-F238E27FC236}">
              <a16:creationId xmlns:a16="http://schemas.microsoft.com/office/drawing/2014/main" id="{D481F972-2206-4EFE-9C6A-6E1E86358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84150" y="3371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8</xdr:row>
      <xdr:rowOff>0</xdr:rowOff>
    </xdr:from>
    <xdr:ext cx="1016000" cy="1428750"/>
    <xdr:pic>
      <xdr:nvPicPr>
        <xdr:cNvPr id="73" name="Picture 72" descr="https://www.tcdb.com/Images/Thumbs/Basketball/2503/2503_241Thumb2.jpg">
          <a:extLst>
            <a:ext uri="{FF2B5EF4-FFF2-40B4-BE49-F238E27FC236}">
              <a16:creationId xmlns:a16="http://schemas.microsoft.com/office/drawing/2014/main" id="{61EB7E53-360D-485A-9862-3FFF0665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84150" y="5086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11</xdr:row>
      <xdr:rowOff>0</xdr:rowOff>
    </xdr:from>
    <xdr:ext cx="1028700" cy="1428750"/>
    <xdr:pic>
      <xdr:nvPicPr>
        <xdr:cNvPr id="74" name="Picture 73" descr="https://www.tcdb.com/Images/Thumbs/Basketball/2508/2508_3010488Thumb2.jpg">
          <a:extLst>
            <a:ext uri="{FF2B5EF4-FFF2-40B4-BE49-F238E27FC236}">
              <a16:creationId xmlns:a16="http://schemas.microsoft.com/office/drawing/2014/main" id="{BE54AFE4-546E-418B-98E8-05DBA3861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84150" y="10229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12</xdr:row>
      <xdr:rowOff>0</xdr:rowOff>
    </xdr:from>
    <xdr:ext cx="1019175" cy="1428750"/>
    <xdr:pic>
      <xdr:nvPicPr>
        <xdr:cNvPr id="75" name="Picture 74" descr="https://www.tcdb.com/Images/Thumbs/Basketball/2510/2510_3010545Thumb2.jpg">
          <a:extLst>
            <a:ext uri="{FF2B5EF4-FFF2-40B4-BE49-F238E27FC236}">
              <a16:creationId xmlns:a16="http://schemas.microsoft.com/office/drawing/2014/main" id="{A6B5CB14-E265-4F73-B17B-8AEE78D6E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84150" y="11944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13</xdr:row>
      <xdr:rowOff>0</xdr:rowOff>
    </xdr:from>
    <xdr:ext cx="1019175" cy="1428750"/>
    <xdr:pic>
      <xdr:nvPicPr>
        <xdr:cNvPr id="76" name="Picture 75" descr="https://www.tcdb.com/Images/Thumbs/Basketball/2511/2511_3010562Thumb2.jpg">
          <a:extLst>
            <a:ext uri="{FF2B5EF4-FFF2-40B4-BE49-F238E27FC236}">
              <a16:creationId xmlns:a16="http://schemas.microsoft.com/office/drawing/2014/main" id="{86F45FF6-EA14-4E66-A1C7-90222D0A8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84150" y="13658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7938</xdr:colOff>
      <xdr:row>14</xdr:row>
      <xdr:rowOff>9382</xdr:rowOff>
    </xdr:from>
    <xdr:ext cx="1019175" cy="1428750"/>
    <xdr:pic>
      <xdr:nvPicPr>
        <xdr:cNvPr id="77" name="Picture 76" descr="https://www.tcdb.com/Images/Thumbs/Basketball/2512/2512_3010572Thumb2.jpg">
          <a:extLst>
            <a:ext uri="{FF2B5EF4-FFF2-40B4-BE49-F238E27FC236}">
              <a16:creationId xmlns:a16="http://schemas.microsoft.com/office/drawing/2014/main" id="{286C4F22-8E44-4CED-93EB-192928AAB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77790476" y="15590694"/>
          <a:ext cx="142875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9</xdr:row>
      <xdr:rowOff>0</xdr:rowOff>
    </xdr:from>
    <xdr:ext cx="1057275" cy="1428750"/>
    <xdr:pic>
      <xdr:nvPicPr>
        <xdr:cNvPr id="78" name="Picture 77" descr="https://www.tcdb.com/Images/Thumbs/Basketball/2514/2514_3010678Thumb2.jpg">
          <a:extLst>
            <a:ext uri="{FF2B5EF4-FFF2-40B4-BE49-F238E27FC236}">
              <a16:creationId xmlns:a16="http://schemas.microsoft.com/office/drawing/2014/main" id="{E8CDDDED-A46F-47E6-A533-5DFFD16C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84150" y="6800850"/>
          <a:ext cx="1057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10</xdr:row>
      <xdr:rowOff>0</xdr:rowOff>
    </xdr:from>
    <xdr:ext cx="1019175" cy="1428750"/>
    <xdr:pic>
      <xdr:nvPicPr>
        <xdr:cNvPr id="79" name="Picture 78" descr="https://www.tcdb.com/Images/Thumbs/Basketball/2515/2515_3010691Thumb2.jpg">
          <a:extLst>
            <a:ext uri="{FF2B5EF4-FFF2-40B4-BE49-F238E27FC236}">
              <a16:creationId xmlns:a16="http://schemas.microsoft.com/office/drawing/2014/main" id="{8119EFC8-5D49-4AD6-8ADE-AF855708D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84150" y="8515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6</xdr:row>
      <xdr:rowOff>0</xdr:rowOff>
    </xdr:from>
    <xdr:ext cx="1019175" cy="1428750"/>
    <xdr:pic>
      <xdr:nvPicPr>
        <xdr:cNvPr id="80" name="Picture 79" descr="https://www.tcdb.com/Images/Thumbs/Basketball/2581/2581_16Thumb2.jpg">
          <a:extLst>
            <a:ext uri="{FF2B5EF4-FFF2-40B4-BE49-F238E27FC236}">
              <a16:creationId xmlns:a16="http://schemas.microsoft.com/office/drawing/2014/main" id="{54ED3369-4E75-4466-9870-22A8B9794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1657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9</xdr:row>
      <xdr:rowOff>0</xdr:rowOff>
    </xdr:from>
    <xdr:ext cx="1019175" cy="1428750"/>
    <xdr:pic>
      <xdr:nvPicPr>
        <xdr:cNvPr id="81" name="Picture 80" descr="https://www.tcdb.com/Images/Thumbs/Basketball/2581/2581_143Thumb2.jpg">
          <a:extLst>
            <a:ext uri="{FF2B5EF4-FFF2-40B4-BE49-F238E27FC236}">
              <a16:creationId xmlns:a16="http://schemas.microsoft.com/office/drawing/2014/main" id="{AFD3DFC1-1739-4326-9E1B-4763197C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6800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12</xdr:row>
      <xdr:rowOff>0</xdr:rowOff>
    </xdr:from>
    <xdr:ext cx="1019175" cy="1428750"/>
    <xdr:pic>
      <xdr:nvPicPr>
        <xdr:cNvPr id="82" name="Picture 81" descr="https://www.tcdb.com/Images/Thumbs/Basketball/2581/2581_280Thumb2.jpg">
          <a:extLst>
            <a:ext uri="{FF2B5EF4-FFF2-40B4-BE49-F238E27FC236}">
              <a16:creationId xmlns:a16="http://schemas.microsoft.com/office/drawing/2014/main" id="{4CC32167-72F2-4679-81F4-704D97FF7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11944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22</xdr:row>
      <xdr:rowOff>0</xdr:rowOff>
    </xdr:from>
    <xdr:ext cx="1019175" cy="1428750"/>
    <xdr:pic>
      <xdr:nvPicPr>
        <xdr:cNvPr id="83" name="Picture 82" descr="https://www.tcdb.com/Images/Thumbs/Basketball/2583/2583_3013220Thumb2.jpg">
          <a:extLst>
            <a:ext uri="{FF2B5EF4-FFF2-40B4-BE49-F238E27FC236}">
              <a16:creationId xmlns:a16="http://schemas.microsoft.com/office/drawing/2014/main" id="{7E337FBD-8F0A-4133-B2A3-9C646FCD1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29089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15</xdr:row>
      <xdr:rowOff>0</xdr:rowOff>
    </xdr:from>
    <xdr:ext cx="1019175" cy="1428750"/>
    <xdr:pic>
      <xdr:nvPicPr>
        <xdr:cNvPr id="84" name="Picture 83" descr="https://www.tcdb.com/Images/Thumbs/Basketball/2584/2584_3013235Thumb2.jpg">
          <a:extLst>
            <a:ext uri="{FF2B5EF4-FFF2-40B4-BE49-F238E27FC236}">
              <a16:creationId xmlns:a16="http://schemas.microsoft.com/office/drawing/2014/main" id="{2CDCDFDB-8769-409A-87D9-E8248E765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17087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19</xdr:row>
      <xdr:rowOff>0</xdr:rowOff>
    </xdr:from>
    <xdr:ext cx="1028700" cy="1428750"/>
    <xdr:pic>
      <xdr:nvPicPr>
        <xdr:cNvPr id="85" name="Picture 84" descr="https://www.tcdb.com/Images/Thumbs/Basketball/2587/2587_3013278RepThumb2.jpg">
          <a:extLst>
            <a:ext uri="{FF2B5EF4-FFF2-40B4-BE49-F238E27FC236}">
              <a16:creationId xmlns:a16="http://schemas.microsoft.com/office/drawing/2014/main" id="{5820A2CF-B70F-4992-BB53-63CE2DF1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23945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20</xdr:row>
      <xdr:rowOff>0</xdr:rowOff>
    </xdr:from>
    <xdr:ext cx="1000125" cy="1428750"/>
    <xdr:pic>
      <xdr:nvPicPr>
        <xdr:cNvPr id="86" name="Picture 85" descr="https://www.tcdb.com/Images/Thumbs/Basketball/25723/25723_3013288Thumb2.jpg">
          <a:extLst>
            <a:ext uri="{FF2B5EF4-FFF2-40B4-BE49-F238E27FC236}">
              <a16:creationId xmlns:a16="http://schemas.microsoft.com/office/drawing/2014/main" id="{BB9883F2-8CBC-4349-90A0-BE8BB4100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256603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21</xdr:row>
      <xdr:rowOff>0</xdr:rowOff>
    </xdr:from>
    <xdr:ext cx="1019175" cy="1428750"/>
    <xdr:pic>
      <xdr:nvPicPr>
        <xdr:cNvPr id="87" name="Picture 86" descr="https://www.tcdb.com/Images/Thumbs/Basketball/2588/2588_3013302Thumb2.jpg">
          <a:extLst>
            <a:ext uri="{FF2B5EF4-FFF2-40B4-BE49-F238E27FC236}">
              <a16:creationId xmlns:a16="http://schemas.microsoft.com/office/drawing/2014/main" id="{890A9CEA-BA27-43D1-B659-B602AB2F1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27374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7</xdr:row>
      <xdr:rowOff>0</xdr:rowOff>
    </xdr:from>
    <xdr:ext cx="1000125" cy="1428750"/>
    <xdr:pic>
      <xdr:nvPicPr>
        <xdr:cNvPr id="88" name="Picture 87" descr="https://www.tcdb.com/Images/Thumbs/Basketball/25724/25724_3013323Thumb2.jpg">
          <a:extLst>
            <a:ext uri="{FF2B5EF4-FFF2-40B4-BE49-F238E27FC236}">
              <a16:creationId xmlns:a16="http://schemas.microsoft.com/office/drawing/2014/main" id="{52A03DE4-E0DE-4EA1-A197-AC191867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33718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13</xdr:row>
      <xdr:rowOff>0</xdr:rowOff>
    </xdr:from>
    <xdr:ext cx="1019175" cy="1428750"/>
    <xdr:pic>
      <xdr:nvPicPr>
        <xdr:cNvPr id="89" name="Picture 88" descr="https://www.tcdb.com/Images/Thumbs/Basketball/25724/25724_G280Thumb2.jpg">
          <a:extLst>
            <a:ext uri="{FF2B5EF4-FFF2-40B4-BE49-F238E27FC236}">
              <a16:creationId xmlns:a16="http://schemas.microsoft.com/office/drawing/2014/main" id="{C0BFA8B9-8C32-4F7A-AA36-FE0B3C20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13658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8</xdr:row>
      <xdr:rowOff>0</xdr:rowOff>
    </xdr:from>
    <xdr:ext cx="1000125" cy="1428750"/>
    <xdr:pic>
      <xdr:nvPicPr>
        <xdr:cNvPr id="90" name="Picture 89" descr="https://www.tcdb.com/Images/Thumbs/Basketball/2589/2589_3013619Thumb2.jpg">
          <a:extLst>
            <a:ext uri="{FF2B5EF4-FFF2-40B4-BE49-F238E27FC236}">
              <a16:creationId xmlns:a16="http://schemas.microsoft.com/office/drawing/2014/main" id="{159C4E5F-BB20-445F-8ABD-56620ADC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50863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14</xdr:row>
      <xdr:rowOff>0</xdr:rowOff>
    </xdr:from>
    <xdr:ext cx="1009650" cy="1428750"/>
    <xdr:pic>
      <xdr:nvPicPr>
        <xdr:cNvPr id="91" name="Picture 90" descr="https://www.tcdb.com/Images/Thumbs/Basketball/2589/2589_3013881Thumb2.jpg">
          <a:extLst>
            <a:ext uri="{FF2B5EF4-FFF2-40B4-BE49-F238E27FC236}">
              <a16:creationId xmlns:a16="http://schemas.microsoft.com/office/drawing/2014/main" id="{9B85C1CC-A7FF-4452-933F-2BCADFD5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15373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17</xdr:row>
      <xdr:rowOff>0</xdr:rowOff>
    </xdr:from>
    <xdr:ext cx="1019175" cy="1428750"/>
    <xdr:pic>
      <xdr:nvPicPr>
        <xdr:cNvPr id="92" name="Picture 91" descr="https://www.tcdb.com/Images/Thumbs/Basketball/2592/2592_3013924Thumb2.jpg">
          <a:extLst>
            <a:ext uri="{FF2B5EF4-FFF2-40B4-BE49-F238E27FC236}">
              <a16:creationId xmlns:a16="http://schemas.microsoft.com/office/drawing/2014/main" id="{479C644B-EB2E-44A0-9C8A-FEAFFACD6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20516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18</xdr:row>
      <xdr:rowOff>0</xdr:rowOff>
    </xdr:from>
    <xdr:ext cx="1028700" cy="1428750"/>
    <xdr:pic>
      <xdr:nvPicPr>
        <xdr:cNvPr id="93" name="Picture 92" descr="https://www.tcdb.com/Images/Thumbs/Basketball/25725/25725_3013953RepThumb2.jpg">
          <a:extLst>
            <a:ext uri="{FF2B5EF4-FFF2-40B4-BE49-F238E27FC236}">
              <a16:creationId xmlns:a16="http://schemas.microsoft.com/office/drawing/2014/main" id="{22C7D6AA-B67B-4545-BD4B-5236D9E93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22231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16</xdr:row>
      <xdr:rowOff>0</xdr:rowOff>
    </xdr:from>
    <xdr:ext cx="1028700" cy="1428750"/>
    <xdr:pic>
      <xdr:nvPicPr>
        <xdr:cNvPr id="94" name="Picture 93" descr="https://www.tcdb.com/Images/Thumbs/Basketball/2593/2593_3013982Thumb2.jpg">
          <a:extLst>
            <a:ext uri="{FF2B5EF4-FFF2-40B4-BE49-F238E27FC236}">
              <a16:creationId xmlns:a16="http://schemas.microsoft.com/office/drawing/2014/main" id="{2F0A69E2-4AB4-44AE-B6F9-F7A5409D2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18802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6</xdr:row>
      <xdr:rowOff>0</xdr:rowOff>
    </xdr:from>
    <xdr:ext cx="1019175" cy="1428750"/>
    <xdr:pic>
      <xdr:nvPicPr>
        <xdr:cNvPr id="95" name="Picture 94" descr="https://www.tcdb.com/Images/Thumbs/Basketball/2480/2480_13Thumb2.jpg">
          <a:extLst>
            <a:ext uri="{FF2B5EF4-FFF2-40B4-BE49-F238E27FC236}">
              <a16:creationId xmlns:a16="http://schemas.microsoft.com/office/drawing/2014/main" id="{800E87E7-FDE5-4747-820B-BF91F622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8350" y="1657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7</xdr:row>
      <xdr:rowOff>0</xdr:rowOff>
    </xdr:from>
    <xdr:ext cx="1000125" cy="1428750"/>
    <xdr:pic>
      <xdr:nvPicPr>
        <xdr:cNvPr id="96" name="Picture 95" descr="https://www.tcdb.com/Images/Thumbs/Basketball/2480/2480_123Thumb2.jpg">
          <a:extLst>
            <a:ext uri="{FF2B5EF4-FFF2-40B4-BE49-F238E27FC236}">
              <a16:creationId xmlns:a16="http://schemas.microsoft.com/office/drawing/2014/main" id="{DF7FAE22-71AD-47ED-A871-19CF7E6A8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8350" y="33718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8</xdr:row>
      <xdr:rowOff>0</xdr:rowOff>
    </xdr:from>
    <xdr:ext cx="1019175" cy="1428750"/>
    <xdr:pic>
      <xdr:nvPicPr>
        <xdr:cNvPr id="97" name="Picture 96" descr="https://www.tcdb.com/Images/Thumbs/Basketball/2480/2480_690402Thumb2.jpg">
          <a:extLst>
            <a:ext uri="{FF2B5EF4-FFF2-40B4-BE49-F238E27FC236}">
              <a16:creationId xmlns:a16="http://schemas.microsoft.com/office/drawing/2014/main" id="{F7F088AE-A7F2-479D-BF49-AC36AE85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8350" y="5086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9</xdr:row>
      <xdr:rowOff>0</xdr:rowOff>
    </xdr:from>
    <xdr:ext cx="1028700" cy="1428750"/>
    <xdr:pic>
      <xdr:nvPicPr>
        <xdr:cNvPr id="98" name="Picture 97" descr="https://www.tcdb.com/Images/Thumbs/Basketball/2483/2483_5398323Thumb2.jpg">
          <a:extLst>
            <a:ext uri="{FF2B5EF4-FFF2-40B4-BE49-F238E27FC236}">
              <a16:creationId xmlns:a16="http://schemas.microsoft.com/office/drawing/2014/main" id="{AD39043D-6C73-48EC-9466-9D3DDA545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8350" y="6800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10</xdr:row>
      <xdr:rowOff>0</xdr:rowOff>
    </xdr:from>
    <xdr:ext cx="1019175" cy="1428750"/>
    <xdr:pic>
      <xdr:nvPicPr>
        <xdr:cNvPr id="99" name="Picture 98" descr="https://www.tcdb.com/Images/Thumbs/Basketball/2487/2487_4Thumb2.jpg">
          <a:extLst>
            <a:ext uri="{FF2B5EF4-FFF2-40B4-BE49-F238E27FC236}">
              <a16:creationId xmlns:a16="http://schemas.microsoft.com/office/drawing/2014/main" id="{951AA21C-18AB-449A-BE35-6816C0AAA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8350" y="8515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11</xdr:row>
      <xdr:rowOff>0</xdr:rowOff>
    </xdr:from>
    <xdr:ext cx="1009650" cy="1428750"/>
    <xdr:pic>
      <xdr:nvPicPr>
        <xdr:cNvPr id="100" name="Picture 99" descr="https://www.tcdb.com/Images/Thumbs/Basketball/2490/2490_3010162Thumb2.jpg">
          <a:extLst>
            <a:ext uri="{FF2B5EF4-FFF2-40B4-BE49-F238E27FC236}">
              <a16:creationId xmlns:a16="http://schemas.microsoft.com/office/drawing/2014/main" id="{30A21850-BF29-4C96-8A09-8052430C1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8350" y="102298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12</xdr:row>
      <xdr:rowOff>0</xdr:rowOff>
    </xdr:from>
    <xdr:ext cx="1009650" cy="1428750"/>
    <xdr:pic>
      <xdr:nvPicPr>
        <xdr:cNvPr id="101" name="Picture 100" descr="https://www.tcdb.com/Images/Thumbs/Basketball/2491/2491_3010175Thumb2.jpg">
          <a:extLst>
            <a:ext uri="{FF2B5EF4-FFF2-40B4-BE49-F238E27FC236}">
              <a16:creationId xmlns:a16="http://schemas.microsoft.com/office/drawing/2014/main" id="{462D1190-3F16-41B5-84BB-3CCF64795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8350" y="11944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6</xdr:row>
      <xdr:rowOff>0</xdr:rowOff>
    </xdr:from>
    <xdr:ext cx="1009650" cy="1428750"/>
    <xdr:pic>
      <xdr:nvPicPr>
        <xdr:cNvPr id="102" name="Picture 101" descr="https://www.tcdb.com/Images/Thumbs/Basketball/2377/2377_13Thumb2.jpg">
          <a:extLst>
            <a:ext uri="{FF2B5EF4-FFF2-40B4-BE49-F238E27FC236}">
              <a16:creationId xmlns:a16="http://schemas.microsoft.com/office/drawing/2014/main" id="{0AB93080-8454-4C27-8DF0-29B42BA0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34200" y="1657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8</xdr:row>
      <xdr:rowOff>0</xdr:rowOff>
    </xdr:from>
    <xdr:ext cx="1009650" cy="1428750"/>
    <xdr:pic>
      <xdr:nvPicPr>
        <xdr:cNvPr id="103" name="Picture 102" descr="https://www.tcdb.com/Images/Thumbs/Basketball/2377/2377_212Thumb2.jpg">
          <a:extLst>
            <a:ext uri="{FF2B5EF4-FFF2-40B4-BE49-F238E27FC236}">
              <a16:creationId xmlns:a16="http://schemas.microsoft.com/office/drawing/2014/main" id="{27C2442D-73F3-4A39-A3EB-01EE83760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34200" y="5086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9</xdr:row>
      <xdr:rowOff>0</xdr:rowOff>
    </xdr:from>
    <xdr:ext cx="1025525" cy="1428750"/>
    <xdr:pic>
      <xdr:nvPicPr>
        <xdr:cNvPr id="104" name="Picture 103" descr="https://www.tcdb.com/Images/Thumbs/Basketball/2378/2378_788234Thumb2.jpg">
          <a:extLst>
            <a:ext uri="{FF2B5EF4-FFF2-40B4-BE49-F238E27FC236}">
              <a16:creationId xmlns:a16="http://schemas.microsoft.com/office/drawing/2014/main" id="{BEC4B174-23AE-439E-B86C-82F56155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34200" y="6800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10</xdr:row>
      <xdr:rowOff>0</xdr:rowOff>
    </xdr:from>
    <xdr:ext cx="1025525" cy="1428750"/>
    <xdr:pic>
      <xdr:nvPicPr>
        <xdr:cNvPr id="105" name="Picture 104" descr="https://www.tcdb.com/Images/Thumbs/Basketball/2382/2382_788369RepThumb2.jpg">
          <a:extLst>
            <a:ext uri="{FF2B5EF4-FFF2-40B4-BE49-F238E27FC236}">
              <a16:creationId xmlns:a16="http://schemas.microsoft.com/office/drawing/2014/main" id="{5DA20D7F-FC50-46C3-9FDF-F3340740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34200" y="8515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7</xdr:row>
      <xdr:rowOff>0</xdr:rowOff>
    </xdr:from>
    <xdr:ext cx="1006475" cy="1428750"/>
    <xdr:pic>
      <xdr:nvPicPr>
        <xdr:cNvPr id="106" name="Picture 105" descr="https://www.tcdb.com/Images/Thumbs/Basketball/25511/25511_13Thumb2.jpg">
          <a:extLst>
            <a:ext uri="{FF2B5EF4-FFF2-40B4-BE49-F238E27FC236}">
              <a16:creationId xmlns:a16="http://schemas.microsoft.com/office/drawing/2014/main" id="{40D656F2-CB12-499A-BFF1-AAB96D4B9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34200" y="33718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11</xdr:row>
      <xdr:rowOff>0</xdr:rowOff>
    </xdr:from>
    <xdr:ext cx="1009650" cy="1428750"/>
    <xdr:pic>
      <xdr:nvPicPr>
        <xdr:cNvPr id="107" name="Picture 106" descr="https://www.tcdb.com/Images/Thumbs/Basketball/2383/2383_788203Thumb2.jpg">
          <a:extLst>
            <a:ext uri="{FF2B5EF4-FFF2-40B4-BE49-F238E27FC236}">
              <a16:creationId xmlns:a16="http://schemas.microsoft.com/office/drawing/2014/main" id="{2A84636F-74DB-4BD8-8926-8061AA2C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34200" y="102298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6</xdr:row>
      <xdr:rowOff>0</xdr:rowOff>
    </xdr:from>
    <xdr:ext cx="1025525" cy="1428750"/>
    <xdr:pic>
      <xdr:nvPicPr>
        <xdr:cNvPr id="108" name="Picture 107" descr="https://www.tcdb.com/Images/Thumbs/Basketball/2435/2435_25Thumb2.jpg">
          <a:extLst>
            <a:ext uri="{FF2B5EF4-FFF2-40B4-BE49-F238E27FC236}">
              <a16:creationId xmlns:a16="http://schemas.microsoft.com/office/drawing/2014/main" id="{64F817EF-76A6-429E-BB82-8F5ECDD7D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1750" y="1657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8</xdr:row>
      <xdr:rowOff>0</xdr:rowOff>
    </xdr:from>
    <xdr:ext cx="1025525" cy="1428750"/>
    <xdr:pic>
      <xdr:nvPicPr>
        <xdr:cNvPr id="109" name="Picture 108" descr="https://www.tcdb.com/Images/Thumbs/Basketball/2439/2439_3Thumb2.jpg">
          <a:extLst>
            <a:ext uri="{FF2B5EF4-FFF2-40B4-BE49-F238E27FC236}">
              <a16:creationId xmlns:a16="http://schemas.microsoft.com/office/drawing/2014/main" id="{51377670-D5D6-426E-8A5D-9DAEA6C9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1750" y="5086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8372</xdr:colOff>
      <xdr:row>10</xdr:row>
      <xdr:rowOff>12123</xdr:rowOff>
    </xdr:from>
    <xdr:ext cx="990600" cy="1426152"/>
    <xdr:pic>
      <xdr:nvPicPr>
        <xdr:cNvPr id="110" name="Picture 109" descr="https://www.tcdb.com/Images/Thumbs/Basketball/2440/2440_5Thumb2.jpg">
          <a:extLst>
            <a:ext uri="{FF2B5EF4-FFF2-40B4-BE49-F238E27FC236}">
              <a16:creationId xmlns:a16="http://schemas.microsoft.com/office/drawing/2014/main" id="{E11FFC51-C7F3-42CC-9571-FE734CF3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23015521" y="8748424"/>
          <a:ext cx="142615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7</xdr:row>
      <xdr:rowOff>0</xdr:rowOff>
    </xdr:from>
    <xdr:ext cx="1006475" cy="1428750"/>
    <xdr:pic>
      <xdr:nvPicPr>
        <xdr:cNvPr id="111" name="Picture 110" descr="https://www.tcdb.com/Images/Thumbs/Basketball/25645/25645_25Thumb2.jpg">
          <a:extLst>
            <a:ext uri="{FF2B5EF4-FFF2-40B4-BE49-F238E27FC236}">
              <a16:creationId xmlns:a16="http://schemas.microsoft.com/office/drawing/2014/main" id="{AEB99879-D92E-4337-8B1D-540828D0C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1750" y="33718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9</xdr:row>
      <xdr:rowOff>0</xdr:rowOff>
    </xdr:from>
    <xdr:ext cx="1028700" cy="1428750"/>
    <xdr:pic>
      <xdr:nvPicPr>
        <xdr:cNvPr id="112" name="Picture 111" descr="https://www.tcdb.com/Images/Thumbs/Basketball/25643/25643_789673Thumb2.jpg">
          <a:extLst>
            <a:ext uri="{FF2B5EF4-FFF2-40B4-BE49-F238E27FC236}">
              <a16:creationId xmlns:a16="http://schemas.microsoft.com/office/drawing/2014/main" id="{5D0EAB81-3235-413D-B8DF-F772E6C4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1750" y="6800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6640</xdr:colOff>
      <xdr:row>11</xdr:row>
      <xdr:rowOff>10680</xdr:rowOff>
    </xdr:from>
    <xdr:ext cx="1019175" cy="1410277"/>
    <xdr:pic>
      <xdr:nvPicPr>
        <xdr:cNvPr id="113" name="Picture 112" descr="https://www.tcdb.com/Images/Thumbs/Basketball/25644/25644_788695Thumb2.jpg">
          <a:extLst>
            <a:ext uri="{FF2B5EF4-FFF2-40B4-BE49-F238E27FC236}">
              <a16:creationId xmlns:a16="http://schemas.microsoft.com/office/drawing/2014/main" id="{40D98322-6BBC-40D6-85F4-FC778A938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23036014" y="10439256"/>
          <a:ext cx="141027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12</xdr:row>
      <xdr:rowOff>0</xdr:rowOff>
    </xdr:from>
    <xdr:ext cx="1025525" cy="1428750"/>
    <xdr:pic>
      <xdr:nvPicPr>
        <xdr:cNvPr id="114" name="Picture 113" descr="https://www.tcdb.com/Images/Thumbs/Basketball/2441/2441_789703Thumb2.jpg">
          <a:extLst>
            <a:ext uri="{FF2B5EF4-FFF2-40B4-BE49-F238E27FC236}">
              <a16:creationId xmlns:a16="http://schemas.microsoft.com/office/drawing/2014/main" id="{F82EA508-6051-411C-9BAE-BA1238B19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1750" y="11944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14</xdr:row>
      <xdr:rowOff>0</xdr:rowOff>
    </xdr:from>
    <xdr:ext cx="1025525" cy="1428750"/>
    <xdr:pic>
      <xdr:nvPicPr>
        <xdr:cNvPr id="115" name="Picture 114" descr="https://www.tcdb.com/Images/Thumbs/Basketball/2444/2444_790194Thumb2.jpg">
          <a:extLst>
            <a:ext uri="{FF2B5EF4-FFF2-40B4-BE49-F238E27FC236}">
              <a16:creationId xmlns:a16="http://schemas.microsoft.com/office/drawing/2014/main" id="{3409415E-0E33-4147-8E9B-B6422D278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1750" y="15373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13</xdr:row>
      <xdr:rowOff>0</xdr:rowOff>
    </xdr:from>
    <xdr:ext cx="1025525" cy="1428750"/>
    <xdr:pic>
      <xdr:nvPicPr>
        <xdr:cNvPr id="116" name="Picture 115" descr="https://www.tcdb.com/Images/Thumbs/Basketball/25646/25646_789733Thumb2.jpg">
          <a:extLst>
            <a:ext uri="{FF2B5EF4-FFF2-40B4-BE49-F238E27FC236}">
              <a16:creationId xmlns:a16="http://schemas.microsoft.com/office/drawing/2014/main" id="{4D3E0A72-8131-45E6-8DFA-AA91DEA8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1750" y="13658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15</xdr:row>
      <xdr:rowOff>0</xdr:rowOff>
    </xdr:from>
    <xdr:ext cx="1025525" cy="1428750"/>
    <xdr:pic>
      <xdr:nvPicPr>
        <xdr:cNvPr id="117" name="Picture 116" descr="https://www.tcdb.com/Images/Thumbs/Basketball/25649/25649_790224Thumb2.jpg">
          <a:extLst>
            <a:ext uri="{FF2B5EF4-FFF2-40B4-BE49-F238E27FC236}">
              <a16:creationId xmlns:a16="http://schemas.microsoft.com/office/drawing/2014/main" id="{BA40F26E-4714-4A72-8486-DF0C2E47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1750" y="17087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6</xdr:row>
      <xdr:rowOff>0</xdr:rowOff>
    </xdr:from>
    <xdr:ext cx="1028700" cy="1428750"/>
    <xdr:pic>
      <xdr:nvPicPr>
        <xdr:cNvPr id="118" name="Picture 117" descr="https://www.tcdb.com/Images/Thumbs/Basketball/2346/2346_22Thumb2.jpg">
          <a:extLst>
            <a:ext uri="{FF2B5EF4-FFF2-40B4-BE49-F238E27FC236}">
              <a16:creationId xmlns:a16="http://schemas.microsoft.com/office/drawing/2014/main" id="{A57EEEB8-25EE-498C-A65C-FAF68D6DA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17600" y="1657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7</xdr:row>
      <xdr:rowOff>0</xdr:rowOff>
    </xdr:from>
    <xdr:ext cx="1025525" cy="1428750"/>
    <xdr:pic>
      <xdr:nvPicPr>
        <xdr:cNvPr id="119" name="Picture 118" descr="https://www.tcdb.com/Images/Thumbs/Basketball/2346/2346_323Thumb2.jpg">
          <a:extLst>
            <a:ext uri="{FF2B5EF4-FFF2-40B4-BE49-F238E27FC236}">
              <a16:creationId xmlns:a16="http://schemas.microsoft.com/office/drawing/2014/main" id="{77DD7A89-D380-485D-A769-5B0155C4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17600" y="3371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28719</xdr:colOff>
      <xdr:row>8</xdr:row>
      <xdr:rowOff>9092</xdr:rowOff>
    </xdr:from>
    <xdr:ext cx="1038225" cy="1426152"/>
    <xdr:pic>
      <xdr:nvPicPr>
        <xdr:cNvPr id="120" name="Picture 119" descr="https://www.tcdb.com/Images/Thumbs/Basketball/2349/2349_3003663Thumb2.jpg">
          <a:extLst>
            <a:ext uri="{FF2B5EF4-FFF2-40B4-BE49-F238E27FC236}">
              <a16:creationId xmlns:a16="http://schemas.microsoft.com/office/drawing/2014/main" id="{A345AD4C-C22A-42AA-B12B-C7B6F3FBB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255531" y="5292580"/>
          <a:ext cx="1426152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9</xdr:row>
      <xdr:rowOff>0</xdr:rowOff>
    </xdr:from>
    <xdr:ext cx="1009650" cy="1428750"/>
    <xdr:pic>
      <xdr:nvPicPr>
        <xdr:cNvPr id="121" name="Picture 120" descr="https://www.tcdb.com/Images/Thumbs/Basketball/2351/2351_4Thumb2.jpg">
          <a:extLst>
            <a:ext uri="{FF2B5EF4-FFF2-40B4-BE49-F238E27FC236}">
              <a16:creationId xmlns:a16="http://schemas.microsoft.com/office/drawing/2014/main" id="{E01A4C7E-EFB8-4272-88EF-3EF56A973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17600" y="68008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8227</xdr:colOff>
      <xdr:row>10</xdr:row>
      <xdr:rowOff>12267</xdr:rowOff>
    </xdr:from>
    <xdr:ext cx="1028700" cy="1426152"/>
    <xdr:pic>
      <xdr:nvPicPr>
        <xdr:cNvPr id="122" name="Picture 121" descr="https://www.tcdb.com/Images/Thumbs/Basketball/2356/2356_3003738Thumb2.jpg">
          <a:extLst>
            <a:ext uri="{FF2B5EF4-FFF2-40B4-BE49-F238E27FC236}">
              <a16:creationId xmlns:a16="http://schemas.microsoft.com/office/drawing/2014/main" id="{5EA1AA32-1E71-45D2-AB95-621597D71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230276" y="8729518"/>
          <a:ext cx="142615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11</xdr:row>
      <xdr:rowOff>0</xdr:rowOff>
    </xdr:from>
    <xdr:ext cx="1025525" cy="1428750"/>
    <xdr:pic>
      <xdr:nvPicPr>
        <xdr:cNvPr id="123" name="Picture 122" descr="https://www.tcdb.com/Images/Thumbs/Basketball/2357/2357_800958Thumb2.jpg">
          <a:extLst>
            <a:ext uri="{FF2B5EF4-FFF2-40B4-BE49-F238E27FC236}">
              <a16:creationId xmlns:a16="http://schemas.microsoft.com/office/drawing/2014/main" id="{0781A863-4C22-4700-94A2-F6D514614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17600" y="10229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12</xdr:row>
      <xdr:rowOff>0</xdr:rowOff>
    </xdr:from>
    <xdr:ext cx="1025525" cy="1428750"/>
    <xdr:pic>
      <xdr:nvPicPr>
        <xdr:cNvPr id="124" name="Picture 123" descr="https://www.tcdb.com/Images/Thumbs/Basketball/25626/25626_2Thumb2.jpg">
          <a:extLst>
            <a:ext uri="{FF2B5EF4-FFF2-40B4-BE49-F238E27FC236}">
              <a16:creationId xmlns:a16="http://schemas.microsoft.com/office/drawing/2014/main" id="{0C5A39E3-2B4A-4BFC-81FA-84C10C8A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17600" y="11944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6</xdr:row>
      <xdr:rowOff>0</xdr:rowOff>
    </xdr:from>
    <xdr:ext cx="1009650" cy="1428750"/>
    <xdr:pic>
      <xdr:nvPicPr>
        <xdr:cNvPr id="125" name="Picture 124" descr="https://www.tcdb.com/Images/Thumbs/Basketball/2179/2179_30Thumb2.jpg">
          <a:extLst>
            <a:ext uri="{FF2B5EF4-FFF2-40B4-BE49-F238E27FC236}">
              <a16:creationId xmlns:a16="http://schemas.microsoft.com/office/drawing/2014/main" id="{E0BAEE12-1FDF-4EF3-92A5-BF544584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0" y="1657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7</xdr:row>
      <xdr:rowOff>0</xdr:rowOff>
    </xdr:from>
    <xdr:ext cx="1028700" cy="1428750"/>
    <xdr:pic>
      <xdr:nvPicPr>
        <xdr:cNvPr id="126" name="Picture 125" descr="https://www.tcdb.com/Images/Thumbs/Basketball/2180/2180_2994373Thumb2.jpg">
          <a:extLst>
            <a:ext uri="{FF2B5EF4-FFF2-40B4-BE49-F238E27FC236}">
              <a16:creationId xmlns:a16="http://schemas.microsoft.com/office/drawing/2014/main" id="{F6323481-61AF-4D9F-A223-54EA310D3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0" y="3371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8</xdr:row>
      <xdr:rowOff>0</xdr:rowOff>
    </xdr:from>
    <xdr:ext cx="1025525" cy="1428750"/>
    <xdr:pic>
      <xdr:nvPicPr>
        <xdr:cNvPr id="127" name="Picture 126" descr="https://www.tcdb.com/Images/Thumbs/Basketball/2181/2181_2Thumb2.jpg">
          <a:extLst>
            <a:ext uri="{FF2B5EF4-FFF2-40B4-BE49-F238E27FC236}">
              <a16:creationId xmlns:a16="http://schemas.microsoft.com/office/drawing/2014/main" id="{B01917F0-4FBA-4F38-AE0E-A9F8733D5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0" y="5086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12</xdr:row>
      <xdr:rowOff>0</xdr:rowOff>
    </xdr:from>
    <xdr:ext cx="1025525" cy="1428750"/>
    <xdr:pic>
      <xdr:nvPicPr>
        <xdr:cNvPr id="128" name="Picture 127" descr="https://www.tcdb.com/Images/Thumbs/Basketball/2184/2184_7Thumb2.jpg">
          <a:extLst>
            <a:ext uri="{FF2B5EF4-FFF2-40B4-BE49-F238E27FC236}">
              <a16:creationId xmlns:a16="http://schemas.microsoft.com/office/drawing/2014/main" id="{2ABD3D19-E3F8-4178-9B64-4AA05245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0" y="11944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10</xdr:row>
      <xdr:rowOff>0</xdr:rowOff>
    </xdr:from>
    <xdr:ext cx="1006475" cy="1428750"/>
    <xdr:pic>
      <xdr:nvPicPr>
        <xdr:cNvPr id="129" name="Picture 128" descr="https://www.tcdb.com/Images/Thumbs/Basketball/2185/2185_4Thumb2.jpg">
          <a:extLst>
            <a:ext uri="{FF2B5EF4-FFF2-40B4-BE49-F238E27FC236}">
              <a16:creationId xmlns:a16="http://schemas.microsoft.com/office/drawing/2014/main" id="{BFEC08BF-606F-4E8E-A8E6-0C3EE8531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0" y="85153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11</xdr:row>
      <xdr:rowOff>0</xdr:rowOff>
    </xdr:from>
    <xdr:ext cx="1025525" cy="1428750"/>
    <xdr:pic>
      <xdr:nvPicPr>
        <xdr:cNvPr id="130" name="Picture 129" descr="https://www.tcdb.com/Images/Thumbs/Basketball/2189/2189_2994448Thumb2.jpg">
          <a:extLst>
            <a:ext uri="{FF2B5EF4-FFF2-40B4-BE49-F238E27FC236}">
              <a16:creationId xmlns:a16="http://schemas.microsoft.com/office/drawing/2014/main" id="{AE89EE19-E75D-4F9A-AD7D-D11A6A9F0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0" y="10229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9</xdr:row>
      <xdr:rowOff>0</xdr:rowOff>
    </xdr:from>
    <xdr:ext cx="1009650" cy="1428750"/>
    <xdr:pic>
      <xdr:nvPicPr>
        <xdr:cNvPr id="131" name="Picture 130" descr="https://www.tcdb.com/Images/Thumbs/Basketball/2191/2191_2994460RepThumb2.jpg">
          <a:extLst>
            <a:ext uri="{FF2B5EF4-FFF2-40B4-BE49-F238E27FC236}">
              <a16:creationId xmlns:a16="http://schemas.microsoft.com/office/drawing/2014/main" id="{22745BDA-E8A2-4F28-9A41-3B40CF31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0" y="68008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6</xdr:row>
      <xdr:rowOff>0</xdr:rowOff>
    </xdr:from>
    <xdr:ext cx="1025525" cy="1428750"/>
    <xdr:pic>
      <xdr:nvPicPr>
        <xdr:cNvPr id="132" name="Picture 131" descr="https://www.tcdb.com/Images/Thumbs/Basketball/2142/2142_28Thumb2.jpg">
          <a:extLst>
            <a:ext uri="{FF2B5EF4-FFF2-40B4-BE49-F238E27FC236}">
              <a16:creationId xmlns:a16="http://schemas.microsoft.com/office/drawing/2014/main" id="{9F22993C-4535-4CC0-A82A-9D343D7F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6850" y="1657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7</xdr:row>
      <xdr:rowOff>0</xdr:rowOff>
    </xdr:from>
    <xdr:ext cx="1025525" cy="1428750"/>
    <xdr:pic>
      <xdr:nvPicPr>
        <xdr:cNvPr id="133" name="Picture 132" descr="https://www.tcdb.com/Images/Thumbs/Basketball/2142/2142_224Thumb2.jpg">
          <a:extLst>
            <a:ext uri="{FF2B5EF4-FFF2-40B4-BE49-F238E27FC236}">
              <a16:creationId xmlns:a16="http://schemas.microsoft.com/office/drawing/2014/main" id="{AE142EF1-0219-4515-A7C7-A6BB53C5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6850" y="33718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8</xdr:row>
      <xdr:rowOff>0</xdr:rowOff>
    </xdr:from>
    <xdr:ext cx="1025525" cy="1428750"/>
    <xdr:pic>
      <xdr:nvPicPr>
        <xdr:cNvPr id="134" name="Picture 133" descr="https://www.tcdb.com/Images/Thumbs/Basketball/2143/2143_2992380Thumb2.jpg">
          <a:extLst>
            <a:ext uri="{FF2B5EF4-FFF2-40B4-BE49-F238E27FC236}">
              <a16:creationId xmlns:a16="http://schemas.microsoft.com/office/drawing/2014/main" id="{FF9369AE-52EB-4D47-9D13-0E27AF7B6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6850" y="50863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8226</xdr:colOff>
      <xdr:row>9</xdr:row>
      <xdr:rowOff>9093</xdr:rowOff>
    </xdr:from>
    <xdr:ext cx="1038225" cy="1445202"/>
    <xdr:pic>
      <xdr:nvPicPr>
        <xdr:cNvPr id="135" name="Picture 134" descr="https://www.tcdb.com/Images/Thumbs/Basketball/2146/2146_4Thumb2.jpg">
          <a:extLst>
            <a:ext uri="{FF2B5EF4-FFF2-40B4-BE49-F238E27FC236}">
              <a16:creationId xmlns:a16="http://schemas.microsoft.com/office/drawing/2014/main" id="{48266620-96C4-4420-9502-B2499A787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6204763" y="7016606"/>
          <a:ext cx="1445202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10</xdr:row>
      <xdr:rowOff>0</xdr:rowOff>
    </xdr:from>
    <xdr:ext cx="1028700" cy="1428750"/>
    <xdr:pic>
      <xdr:nvPicPr>
        <xdr:cNvPr id="136" name="Picture 135" descr="https://www.tcdb.com/Images/Thumbs/Basketball/2149/2149_7Thumb2.jpg">
          <a:extLst>
            <a:ext uri="{FF2B5EF4-FFF2-40B4-BE49-F238E27FC236}">
              <a16:creationId xmlns:a16="http://schemas.microsoft.com/office/drawing/2014/main" id="{084FDC50-2F80-4F26-80CD-89A2333AC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6850" y="8515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11</xdr:row>
      <xdr:rowOff>0</xdr:rowOff>
    </xdr:from>
    <xdr:ext cx="1028700" cy="1428750"/>
    <xdr:pic>
      <xdr:nvPicPr>
        <xdr:cNvPr id="137" name="Picture 136" descr="https://www.tcdb.com/Images/Thumbs/Basketball/2151/2151_3Thumb2.jpg">
          <a:extLst>
            <a:ext uri="{FF2B5EF4-FFF2-40B4-BE49-F238E27FC236}">
              <a16:creationId xmlns:a16="http://schemas.microsoft.com/office/drawing/2014/main" id="{E3B223A7-0513-4AA6-8D1E-8E329661D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6850" y="10229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20762</xdr:colOff>
      <xdr:row>12</xdr:row>
      <xdr:rowOff>31750</xdr:rowOff>
    </xdr:from>
    <xdr:ext cx="1061913" cy="1435100"/>
    <xdr:pic>
      <xdr:nvPicPr>
        <xdr:cNvPr id="138" name="Picture 137" descr="Picture 1 of 2">
          <a:extLst>
            <a:ext uri="{FF2B5EF4-FFF2-40B4-BE49-F238E27FC236}">
              <a16:creationId xmlns:a16="http://schemas.microsoft.com/office/drawing/2014/main" id="{B65933DB-7939-428B-A00A-C2CEFF3065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06" t="10180" r="23166" b="13848"/>
        <a:stretch/>
      </xdr:blipFill>
      <xdr:spPr bwMode="auto">
        <a:xfrm>
          <a:off x="146654962" y="11979275"/>
          <a:ext cx="1061913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10</xdr:row>
      <xdr:rowOff>0</xdr:rowOff>
    </xdr:from>
    <xdr:ext cx="1019175" cy="1428750"/>
    <xdr:pic>
      <xdr:nvPicPr>
        <xdr:cNvPr id="139" name="Picture 138" descr="https://www.tcdb.com/Images/Thumbs/Basketball/2581/2581_143Thumb2.jpg">
          <a:extLst>
            <a:ext uri="{FF2B5EF4-FFF2-40B4-BE49-F238E27FC236}">
              <a16:creationId xmlns:a16="http://schemas.microsoft.com/office/drawing/2014/main" id="{2BA84BC9-BB07-4750-AC9F-023AF5DD8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8515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11</xdr:row>
      <xdr:rowOff>0</xdr:rowOff>
    </xdr:from>
    <xdr:ext cx="1019175" cy="1428750"/>
    <xdr:pic>
      <xdr:nvPicPr>
        <xdr:cNvPr id="140" name="Picture 139" descr="https://www.tcdb.com/Images/Thumbs/Basketball/2581/2581_143Thumb2.jpg">
          <a:extLst>
            <a:ext uri="{FF2B5EF4-FFF2-40B4-BE49-F238E27FC236}">
              <a16:creationId xmlns:a16="http://schemas.microsoft.com/office/drawing/2014/main" id="{34CB1C17-358E-4424-8C83-C364AB122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5850" y="10229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11</xdr:row>
      <xdr:rowOff>0</xdr:rowOff>
    </xdr:from>
    <xdr:ext cx="1016000" cy="1428750"/>
    <xdr:pic>
      <xdr:nvPicPr>
        <xdr:cNvPr id="141" name="Picture 140" descr="https://www.tcdb.com/Images/Thumbs/Basketball/25698/25698_3009836Thumb2.jpg">
          <a:extLst>
            <a:ext uri="{FF2B5EF4-FFF2-40B4-BE49-F238E27FC236}">
              <a16:creationId xmlns:a16="http://schemas.microsoft.com/office/drawing/2014/main" id="{BF1500A3-073C-4567-BB45-297632D3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00" y="10229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18596</xdr:colOff>
      <xdr:row>9</xdr:row>
      <xdr:rowOff>10432</xdr:rowOff>
    </xdr:from>
    <xdr:ext cx="1010172" cy="1414236"/>
    <xdr:pic>
      <xdr:nvPicPr>
        <xdr:cNvPr id="142" name="Picture 141" descr="Picture 1 of 2">
          <a:extLst>
            <a:ext uri="{FF2B5EF4-FFF2-40B4-BE49-F238E27FC236}">
              <a16:creationId xmlns:a16="http://schemas.microsoft.com/office/drawing/2014/main" id="{A39AF901-833E-414F-82AA-316367375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48" t="27362" r="10317" b="7744"/>
        <a:stretch/>
      </xdr:blipFill>
      <xdr:spPr bwMode="auto">
        <a:xfrm>
          <a:off x="170198596" y="6814457"/>
          <a:ext cx="1010172" cy="141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308</xdr:col>
      <xdr:colOff>21009</xdr:colOff>
      <xdr:row>7</xdr:row>
      <xdr:rowOff>6041</xdr:rowOff>
    </xdr:from>
    <xdr:ext cx="1019175" cy="1428750"/>
    <xdr:pic>
      <xdr:nvPicPr>
        <xdr:cNvPr id="143" name="Picture 142" descr="https://www.tcdb.com/Images/Thumbs/Basketball/25767/25767_3015950Thumb2.jpg">
          <a:extLst>
            <a:ext uri="{FF2B5EF4-FFF2-40B4-BE49-F238E27FC236}">
              <a16:creationId xmlns:a16="http://schemas.microsoft.com/office/drawing/2014/main" id="{07423F45-F59B-4DAB-8658-B938C494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01308072" y="3585853"/>
          <a:ext cx="142875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308</xdr:col>
      <xdr:colOff>0</xdr:colOff>
      <xdr:row>11</xdr:row>
      <xdr:rowOff>0</xdr:rowOff>
    </xdr:from>
    <xdr:ext cx="1028700" cy="1428750"/>
    <xdr:pic>
      <xdr:nvPicPr>
        <xdr:cNvPr id="144" name="Picture 143" descr="https://www.tcdb.com/Images/Thumbs/Basketball/25769/25769_3016110Thumb2.jpg">
          <a:extLst>
            <a:ext uri="{FF2B5EF4-FFF2-40B4-BE49-F238E27FC236}">
              <a16:creationId xmlns:a16="http://schemas.microsoft.com/office/drawing/2014/main" id="{3C6CCA18-8397-436E-930F-6624EC1A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91850" y="10229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308</xdr:col>
      <xdr:colOff>10433</xdr:colOff>
      <xdr:row>13</xdr:row>
      <xdr:rowOff>20864</xdr:rowOff>
    </xdr:from>
    <xdr:ext cx="1045976" cy="1449156"/>
    <xdr:pic>
      <xdr:nvPicPr>
        <xdr:cNvPr id="145" name="Picture 144" descr="Picture 1 of 2">
          <a:extLst>
            <a:ext uri="{FF2B5EF4-FFF2-40B4-BE49-F238E27FC236}">
              <a16:creationId xmlns:a16="http://schemas.microsoft.com/office/drawing/2014/main" id="{5193E89A-A511-43C6-85C9-F711D91B82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4" t="24377" r="11534" b="8288"/>
        <a:stretch/>
      </xdr:blipFill>
      <xdr:spPr bwMode="auto">
        <a:xfrm>
          <a:off x="201505458" y="13679714"/>
          <a:ext cx="1045976" cy="144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6</xdr:row>
      <xdr:rowOff>0</xdr:rowOff>
    </xdr:from>
    <xdr:ext cx="1009650" cy="1428750"/>
    <xdr:pic>
      <xdr:nvPicPr>
        <xdr:cNvPr id="146" name="Picture 145" descr="https://www.tcdb.com/Images/Thumbs/Basketball/2227/2227_326Thumb2.jpg">
          <a:extLst>
            <a:ext uri="{FF2B5EF4-FFF2-40B4-BE49-F238E27FC236}">
              <a16:creationId xmlns:a16="http://schemas.microsoft.com/office/drawing/2014/main" id="{AAD7D091-9500-4656-B684-D78B2E6E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13450" y="1657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6</xdr:row>
      <xdr:rowOff>0</xdr:rowOff>
    </xdr:from>
    <xdr:ext cx="1019175" cy="1428750"/>
    <xdr:pic>
      <xdr:nvPicPr>
        <xdr:cNvPr id="147" name="Picture 146" descr="https://www.tcdb.com/Images/Thumbs/Basketball/2336/2336_684010Thumb2.jpg">
          <a:extLst>
            <a:ext uri="{FF2B5EF4-FFF2-40B4-BE49-F238E27FC236}">
              <a16:creationId xmlns:a16="http://schemas.microsoft.com/office/drawing/2014/main" id="{ED447A54-5118-42DF-8B34-C658C9571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30050" y="1657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28802</xdr:colOff>
      <xdr:row>7</xdr:row>
      <xdr:rowOff>10947</xdr:rowOff>
    </xdr:from>
    <xdr:ext cx="1019175" cy="1417865"/>
    <xdr:pic>
      <xdr:nvPicPr>
        <xdr:cNvPr id="148" name="Picture 147" descr="https://www.tcdb.com/Images/Thumbs/Basketball/2336/2336_235Thumb2.jpg">
          <a:extLst>
            <a:ext uri="{FF2B5EF4-FFF2-40B4-BE49-F238E27FC236}">
              <a16:creationId xmlns:a16="http://schemas.microsoft.com/office/drawing/2014/main" id="{19C8D28C-649C-4C2F-88F9-0B7ED7657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38662682" y="3585317"/>
          <a:ext cx="141786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8</xdr:row>
      <xdr:rowOff>0</xdr:rowOff>
    </xdr:from>
    <xdr:ext cx="1028700" cy="1428750"/>
    <xdr:pic>
      <xdr:nvPicPr>
        <xdr:cNvPr id="149" name="Picture 148" descr="https://www.tcdb.com/Images/Thumbs/Basketball/2337/2337_3003526Thumb2.jpg">
          <a:extLst>
            <a:ext uri="{FF2B5EF4-FFF2-40B4-BE49-F238E27FC236}">
              <a16:creationId xmlns:a16="http://schemas.microsoft.com/office/drawing/2014/main" id="{5170CE9E-E810-40DF-A87E-FC15F57DF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30050" y="5086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9</xdr:row>
      <xdr:rowOff>0</xdr:rowOff>
    </xdr:from>
    <xdr:ext cx="1019175" cy="1428750"/>
    <xdr:pic>
      <xdr:nvPicPr>
        <xdr:cNvPr id="150" name="Picture 149" descr="https://www.tcdb.com/Images/Thumbs/Basketball/2340/2340_3003544RepThumb2.jpg">
          <a:extLst>
            <a:ext uri="{FF2B5EF4-FFF2-40B4-BE49-F238E27FC236}">
              <a16:creationId xmlns:a16="http://schemas.microsoft.com/office/drawing/2014/main" id="{2214C601-3D83-4729-9ABC-51C66A418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30050" y="6800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10</xdr:row>
      <xdr:rowOff>0</xdr:rowOff>
    </xdr:from>
    <xdr:ext cx="1019175" cy="1428750"/>
    <xdr:pic>
      <xdr:nvPicPr>
        <xdr:cNvPr id="151" name="Picture 150" descr="https://www.tcdb.com/Images/Thumbs/Basketball/2341/2341_3003559Thumb2.jpg">
          <a:extLst>
            <a:ext uri="{FF2B5EF4-FFF2-40B4-BE49-F238E27FC236}">
              <a16:creationId xmlns:a16="http://schemas.microsoft.com/office/drawing/2014/main" id="{83B311DA-7826-4020-8F39-6BDC4C5B8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30050" y="8515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10</xdr:row>
      <xdr:rowOff>0</xdr:rowOff>
    </xdr:from>
    <xdr:ext cx="1028700" cy="1428750"/>
    <xdr:pic>
      <xdr:nvPicPr>
        <xdr:cNvPr id="152" name="Picture 151" descr="https://www.tcdb.com/Images/Thumbs/Basketball/2477/2477_R2-23Thumb2.jpg">
          <a:extLst>
            <a:ext uri="{FF2B5EF4-FFF2-40B4-BE49-F238E27FC236}">
              <a16:creationId xmlns:a16="http://schemas.microsoft.com/office/drawing/2014/main" id="{53B84387-9AD1-4D1E-AF0F-0C6076301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00" y="8515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6</xdr:row>
      <xdr:rowOff>0</xdr:rowOff>
    </xdr:from>
    <xdr:ext cx="1016000" cy="1428750"/>
    <xdr:pic>
      <xdr:nvPicPr>
        <xdr:cNvPr id="153" name="Picture 152" descr="https://www.tcdb.com/Images/Thumbs/Basketball/25699/25699_3009926Thumb2.jpg">
          <a:extLst>
            <a:ext uri="{FF2B5EF4-FFF2-40B4-BE49-F238E27FC236}">
              <a16:creationId xmlns:a16="http://schemas.microsoft.com/office/drawing/2014/main" id="{8698EDB5-F2BA-4BCF-8FF6-75D9D7182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00" y="1657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8</xdr:row>
      <xdr:rowOff>0</xdr:rowOff>
    </xdr:from>
    <xdr:ext cx="1028700" cy="1428750"/>
    <xdr:pic>
      <xdr:nvPicPr>
        <xdr:cNvPr id="154" name="Picture 153" descr="https://www.tcdb.com/Images/Thumbs/Basketball/25700/25700_23Thumb2.jpg">
          <a:extLst>
            <a:ext uri="{FF2B5EF4-FFF2-40B4-BE49-F238E27FC236}">
              <a16:creationId xmlns:a16="http://schemas.microsoft.com/office/drawing/2014/main" id="{2FA7ADAB-633D-4053-ADE7-0C64234AC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00" y="5086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12</xdr:row>
      <xdr:rowOff>0</xdr:rowOff>
    </xdr:from>
    <xdr:ext cx="1047750" cy="1428750"/>
    <xdr:pic>
      <xdr:nvPicPr>
        <xdr:cNvPr id="155" name="Picture 154" descr="https://www.tcdb.com/Images/Thumbs/Basketball/2479/2479_3009614RepThumb2.jpg">
          <a:extLst>
            <a:ext uri="{FF2B5EF4-FFF2-40B4-BE49-F238E27FC236}">
              <a16:creationId xmlns:a16="http://schemas.microsoft.com/office/drawing/2014/main" id="{96FBE776-59AB-4AA4-8B4A-2C86568F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00" y="11944350"/>
          <a:ext cx="1047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308</xdr:col>
      <xdr:colOff>0</xdr:colOff>
      <xdr:row>12</xdr:row>
      <xdr:rowOff>0</xdr:rowOff>
    </xdr:from>
    <xdr:ext cx="1019175" cy="1428750"/>
    <xdr:pic>
      <xdr:nvPicPr>
        <xdr:cNvPr id="156" name="Picture 155" descr="https://www.tcdb.com/Images/Thumbs/Basketball/2626/2626_1Thumb2.jpg">
          <a:extLst>
            <a:ext uri="{FF2B5EF4-FFF2-40B4-BE49-F238E27FC236}">
              <a16:creationId xmlns:a16="http://schemas.microsoft.com/office/drawing/2014/main" id="{18C1EF14-25CB-44E7-8972-3A3DA277E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91850" y="11944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308</xdr:col>
      <xdr:colOff>9897</xdr:colOff>
      <xdr:row>6</xdr:row>
      <xdr:rowOff>10803</xdr:rowOff>
    </xdr:from>
    <xdr:ext cx="1028700" cy="1428750"/>
    <xdr:pic>
      <xdr:nvPicPr>
        <xdr:cNvPr id="157" name="Picture 156" descr="https://www.tcdb.com/Images/Thumbs/Basketball/9057/9057_696529RepThumb2.jpg">
          <a:extLst>
            <a:ext uri="{FF2B5EF4-FFF2-40B4-BE49-F238E27FC236}">
              <a16:creationId xmlns:a16="http://schemas.microsoft.com/office/drawing/2014/main" id="{EA47B98E-795E-446B-B705-8353C947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01304897" y="1871353"/>
          <a:ext cx="14287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308</xdr:col>
      <xdr:colOff>0</xdr:colOff>
      <xdr:row>8</xdr:row>
      <xdr:rowOff>0</xdr:rowOff>
    </xdr:from>
    <xdr:ext cx="1028700" cy="1428750"/>
    <xdr:pic>
      <xdr:nvPicPr>
        <xdr:cNvPr id="158" name="Picture 157" descr="https://www.tcdb.com/Images/Thumbs/Basketball/9058/9058_696659Thumb2.jpg">
          <a:extLst>
            <a:ext uri="{FF2B5EF4-FFF2-40B4-BE49-F238E27FC236}">
              <a16:creationId xmlns:a16="http://schemas.microsoft.com/office/drawing/2014/main" id="{89038F59-99B0-4D6F-A126-2E2DEF674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91850" y="5086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308</xdr:col>
      <xdr:colOff>0</xdr:colOff>
      <xdr:row>10</xdr:row>
      <xdr:rowOff>0</xdr:rowOff>
    </xdr:from>
    <xdr:ext cx="1019175" cy="1428750"/>
    <xdr:pic>
      <xdr:nvPicPr>
        <xdr:cNvPr id="159" name="Picture 158" descr="https://www.tcdb.com/Images/Thumbs/Basketball/9059/9059_696789Thumb2.jpg">
          <a:extLst>
            <a:ext uri="{FF2B5EF4-FFF2-40B4-BE49-F238E27FC236}">
              <a16:creationId xmlns:a16="http://schemas.microsoft.com/office/drawing/2014/main" id="{5CBF8E5F-DC42-4225-8543-571E4537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91850" y="8515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7</xdr:row>
      <xdr:rowOff>0</xdr:rowOff>
    </xdr:from>
    <xdr:ext cx="996950" cy="1428750"/>
    <xdr:pic>
      <xdr:nvPicPr>
        <xdr:cNvPr id="160" name="Picture 159" descr="https://www.tcdb.com/Images/Thumbs/Basketball/2076/2076_11464491RepThumb2.jpg">
          <a:extLst>
            <a:ext uri="{FF2B5EF4-FFF2-40B4-BE49-F238E27FC236}">
              <a16:creationId xmlns:a16="http://schemas.microsoft.com/office/drawing/2014/main" id="{B9307C69-7119-45A2-825B-D292E4C2B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0250" y="33718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29644</xdr:colOff>
      <xdr:row>7</xdr:row>
      <xdr:rowOff>17319</xdr:rowOff>
    </xdr:from>
    <xdr:ext cx="971636" cy="1390680"/>
    <xdr:pic>
      <xdr:nvPicPr>
        <xdr:cNvPr id="161" name="Picture 160" descr="96-97 Michael Jordan Legacy Collection Row 0">
          <a:extLst>
            <a:ext uri="{FF2B5EF4-FFF2-40B4-BE49-F238E27FC236}">
              <a16:creationId xmlns:a16="http://schemas.microsoft.com/office/drawing/2014/main" id="{CB84FB32-DF15-4BF5-A58E-6A527346F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12819" y="3389169"/>
          <a:ext cx="971636" cy="139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308</xdr:col>
      <xdr:colOff>31200</xdr:colOff>
      <xdr:row>9</xdr:row>
      <xdr:rowOff>10967</xdr:rowOff>
    </xdr:from>
    <xdr:ext cx="1026482" cy="1476953"/>
    <xdr:pic>
      <xdr:nvPicPr>
        <xdr:cNvPr id="162" name="Picture 161" descr="Fleer 1997-1998 Flair Showcase Legacy Collection Row 1 #1 Michael Jordan  36/100 / BGS Grade 9.5">
          <a:extLst>
            <a:ext uri="{FF2B5EF4-FFF2-40B4-BE49-F238E27FC236}">
              <a16:creationId xmlns:a16="http://schemas.microsoft.com/office/drawing/2014/main" id="{888AE81E-9981-4AC2-B3E8-5BD66B3078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90" t="24148" r="11134" b="8558"/>
        <a:stretch/>
      </xdr:blipFill>
      <xdr:spPr bwMode="auto">
        <a:xfrm>
          <a:off x="201526225" y="6814992"/>
          <a:ext cx="1026482" cy="1476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320</xdr:col>
      <xdr:colOff>0</xdr:colOff>
      <xdr:row>6</xdr:row>
      <xdr:rowOff>0</xdr:rowOff>
    </xdr:from>
    <xdr:ext cx="1019175" cy="1428750"/>
    <xdr:pic>
      <xdr:nvPicPr>
        <xdr:cNvPr id="163" name="Picture 162" descr="https://www.tcdb.com/Images/Thumbs/Basketball/2654/2654_697722RepThumb2.jpg">
          <a:extLst>
            <a:ext uri="{FF2B5EF4-FFF2-40B4-BE49-F238E27FC236}">
              <a16:creationId xmlns:a16="http://schemas.microsoft.com/office/drawing/2014/main" id="{65106ADC-8417-4E90-815F-C1C6CC09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0" y="1657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320</xdr:col>
      <xdr:colOff>0</xdr:colOff>
      <xdr:row>11</xdr:row>
      <xdr:rowOff>0</xdr:rowOff>
    </xdr:from>
    <xdr:ext cx="1028700" cy="1428750"/>
    <xdr:pic>
      <xdr:nvPicPr>
        <xdr:cNvPr id="164" name="Picture 163" descr="https://www.tcdb.com/Images/Thumbs/Basketball/2656/2656_3017806RepThumb2.jpg">
          <a:extLst>
            <a:ext uri="{FF2B5EF4-FFF2-40B4-BE49-F238E27FC236}">
              <a16:creationId xmlns:a16="http://schemas.microsoft.com/office/drawing/2014/main" id="{23245470-8C32-4CF6-89A8-5485682D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0" y="10229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320</xdr:col>
      <xdr:colOff>39690</xdr:colOff>
      <xdr:row>10</xdr:row>
      <xdr:rowOff>28433</xdr:rowOff>
    </xdr:from>
    <xdr:ext cx="1057275" cy="1428750"/>
    <xdr:pic>
      <xdr:nvPicPr>
        <xdr:cNvPr id="165" name="Picture 164" descr="https://www.tcdb.com/Images/Thumbs/Basketball/2660/2660_3018118Thumb2.jpg">
          <a:extLst>
            <a:ext uri="{FF2B5EF4-FFF2-40B4-BE49-F238E27FC236}">
              <a16:creationId xmlns:a16="http://schemas.microsoft.com/office/drawing/2014/main" id="{81E400D4-4C74-4D3B-BFCC-81472E25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09657953" y="8732695"/>
          <a:ext cx="142875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332</xdr:col>
      <xdr:colOff>0</xdr:colOff>
      <xdr:row>6</xdr:row>
      <xdr:rowOff>0</xdr:rowOff>
    </xdr:from>
    <xdr:ext cx="1009650" cy="1428750"/>
    <xdr:pic>
      <xdr:nvPicPr>
        <xdr:cNvPr id="166" name="Picture 165" descr="https://www.tcdb.com/Images/Thumbs/Basketball/2661/2661_697897Thumb2.jpg">
          <a:extLst>
            <a:ext uri="{FF2B5EF4-FFF2-40B4-BE49-F238E27FC236}">
              <a16:creationId xmlns:a16="http://schemas.microsoft.com/office/drawing/2014/main" id="{DD515EE4-AA66-4129-B603-8B9E3657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00250" y="1657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332</xdr:col>
      <xdr:colOff>0</xdr:colOff>
      <xdr:row>10</xdr:row>
      <xdr:rowOff>0</xdr:rowOff>
    </xdr:from>
    <xdr:ext cx="1019175" cy="1428750"/>
    <xdr:pic>
      <xdr:nvPicPr>
        <xdr:cNvPr id="167" name="Picture 166" descr="https://www.tcdb.com/Images/Thumbs/Basketball/25787/25787_5Thumb2.jpg">
          <a:extLst>
            <a:ext uri="{FF2B5EF4-FFF2-40B4-BE49-F238E27FC236}">
              <a16:creationId xmlns:a16="http://schemas.microsoft.com/office/drawing/2014/main" id="{59AF03FF-C6E1-44C9-B452-257A78D4F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00250" y="8515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332</xdr:col>
      <xdr:colOff>0</xdr:colOff>
      <xdr:row>8</xdr:row>
      <xdr:rowOff>0</xdr:rowOff>
    </xdr:from>
    <xdr:ext cx="1000125" cy="1428750"/>
    <xdr:pic>
      <xdr:nvPicPr>
        <xdr:cNvPr id="168" name="Picture 167" descr="https://www.tcdb.com/Images/Thumbs/Basketball/2662/2662_3018158Thumb2.jpg">
          <a:extLst>
            <a:ext uri="{FF2B5EF4-FFF2-40B4-BE49-F238E27FC236}">
              <a16:creationId xmlns:a16="http://schemas.microsoft.com/office/drawing/2014/main" id="{4BCEF273-DD8F-4336-B799-3FEED391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00250" y="50863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332</xdr:col>
      <xdr:colOff>0</xdr:colOff>
      <xdr:row>9</xdr:row>
      <xdr:rowOff>0</xdr:rowOff>
    </xdr:from>
    <xdr:ext cx="1028700" cy="1428750"/>
    <xdr:pic>
      <xdr:nvPicPr>
        <xdr:cNvPr id="169" name="Picture 168" descr="https://www.tcdb.com/Images/Thumbs/Basketball/2663/2663_3018192Thumb2.jpg">
          <a:extLst>
            <a:ext uri="{FF2B5EF4-FFF2-40B4-BE49-F238E27FC236}">
              <a16:creationId xmlns:a16="http://schemas.microsoft.com/office/drawing/2014/main" id="{9F38DA40-6DF8-4889-AF37-CF2B5E36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00250" y="6800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320</xdr:col>
      <xdr:colOff>0</xdr:colOff>
      <xdr:row>9</xdr:row>
      <xdr:rowOff>0</xdr:rowOff>
    </xdr:from>
    <xdr:ext cx="1028700" cy="1428750"/>
    <xdr:pic>
      <xdr:nvPicPr>
        <xdr:cNvPr id="170" name="Picture 169" descr="https://www.tcdb.com/Images/Thumbs/Basketball/2657/2657_3017821Thumb2.jpg">
          <a:extLst>
            <a:ext uri="{FF2B5EF4-FFF2-40B4-BE49-F238E27FC236}">
              <a16:creationId xmlns:a16="http://schemas.microsoft.com/office/drawing/2014/main" id="{645D0833-1825-4C83-98AE-81066B9D1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0" y="6800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320</xdr:col>
      <xdr:colOff>0</xdr:colOff>
      <xdr:row>8</xdr:row>
      <xdr:rowOff>0</xdr:rowOff>
    </xdr:from>
    <xdr:ext cx="1019175" cy="1428750"/>
    <xdr:pic>
      <xdr:nvPicPr>
        <xdr:cNvPr id="171" name="Picture 170" descr="https://www.tcdb.com/Images/Thumbs/Basketball/25786/25786_3017981Thumb2.jpg">
          <a:extLst>
            <a:ext uri="{FF2B5EF4-FFF2-40B4-BE49-F238E27FC236}">
              <a16:creationId xmlns:a16="http://schemas.microsoft.com/office/drawing/2014/main" id="{E3770676-515D-4727-A18B-FA86E633E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0" y="5086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320</xdr:col>
      <xdr:colOff>0</xdr:colOff>
      <xdr:row>7</xdr:row>
      <xdr:rowOff>0</xdr:rowOff>
    </xdr:from>
    <xdr:ext cx="1000125" cy="1428750"/>
    <xdr:pic>
      <xdr:nvPicPr>
        <xdr:cNvPr id="172" name="Picture 171" descr="https://www.tcdb.com/Images/Thumbs/Basketball/25785/25785_3017858Thumb2.jpg">
          <a:extLst>
            <a:ext uri="{FF2B5EF4-FFF2-40B4-BE49-F238E27FC236}">
              <a16:creationId xmlns:a16="http://schemas.microsoft.com/office/drawing/2014/main" id="{3995AA99-BA88-4886-A74F-92DB04A35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0" y="33718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332</xdr:col>
      <xdr:colOff>0</xdr:colOff>
      <xdr:row>7</xdr:row>
      <xdr:rowOff>0</xdr:rowOff>
    </xdr:from>
    <xdr:ext cx="1000125" cy="1428750"/>
    <xdr:pic>
      <xdr:nvPicPr>
        <xdr:cNvPr id="173" name="Picture 172" descr="https://www.tcdb.com/Images/Thumbs/Basketball/25789/25789_3018225Thumb2.jpg">
          <a:extLst>
            <a:ext uri="{FF2B5EF4-FFF2-40B4-BE49-F238E27FC236}">
              <a16:creationId xmlns:a16="http://schemas.microsoft.com/office/drawing/2014/main" id="{0A0972E2-8D41-4E12-9482-F30EF2733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00250" y="33718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296</xdr:col>
      <xdr:colOff>13214</xdr:colOff>
      <xdr:row>11</xdr:row>
      <xdr:rowOff>28286</xdr:rowOff>
    </xdr:from>
    <xdr:to>
      <xdr:col>296</xdr:col>
      <xdr:colOff>1040244</xdr:colOff>
      <xdr:row>11</xdr:row>
      <xdr:rowOff>1475220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1F085365-CAFF-4C34-BF6D-1DE9C7E04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r:link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04089" y="10261311"/>
          <a:ext cx="1027030" cy="14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296</xdr:col>
      <xdr:colOff>9857</xdr:colOff>
      <xdr:row>10</xdr:row>
      <xdr:rowOff>37812</xdr:rowOff>
    </xdr:from>
    <xdr:ext cx="1013829" cy="1402772"/>
    <xdr:pic>
      <xdr:nvPicPr>
        <xdr:cNvPr id="175" name="Picture 174" descr="1997-98 Ultra Gold Medallion 259 Michael Jordan GRE '98 Greats - Picture 1 of 1">
          <a:extLst>
            <a:ext uri="{FF2B5EF4-FFF2-40B4-BE49-F238E27FC236}">
              <a16:creationId xmlns:a16="http://schemas.microsoft.com/office/drawing/2014/main" id="{EB578173-D6B8-4286-B5CE-2EB3FEA24E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5" t="2333" r="5488" b="3469"/>
        <a:stretch/>
      </xdr:blipFill>
      <xdr:spPr bwMode="auto">
        <a:xfrm>
          <a:off x="193700732" y="8553162"/>
          <a:ext cx="1013829" cy="1402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16</xdr:row>
      <xdr:rowOff>0</xdr:rowOff>
    </xdr:from>
    <xdr:ext cx="1009650" cy="1428750"/>
    <xdr:pic>
      <xdr:nvPicPr>
        <xdr:cNvPr id="176" name="Picture 175">
          <a:extLst>
            <a:ext uri="{FF2B5EF4-FFF2-40B4-BE49-F238E27FC236}">
              <a16:creationId xmlns:a16="http://schemas.microsoft.com/office/drawing/2014/main" id="{3409FCF0-7DEB-49C8-94EA-B655FD25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1657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19</xdr:row>
      <xdr:rowOff>0</xdr:rowOff>
    </xdr:from>
    <xdr:ext cx="1028700" cy="1428750"/>
    <xdr:pic>
      <xdr:nvPicPr>
        <xdr:cNvPr id="177" name="Picture 176">
          <a:extLst>
            <a:ext uri="{FF2B5EF4-FFF2-40B4-BE49-F238E27FC236}">
              <a16:creationId xmlns:a16="http://schemas.microsoft.com/office/drawing/2014/main" id="{AEB42F22-763C-4A41-9420-D7DC6E40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6800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17</xdr:row>
      <xdr:rowOff>0</xdr:rowOff>
    </xdr:from>
    <xdr:ext cx="1028700" cy="1428750"/>
    <xdr:pic>
      <xdr:nvPicPr>
        <xdr:cNvPr id="178" name="Picture 177">
          <a:extLst>
            <a:ext uri="{FF2B5EF4-FFF2-40B4-BE49-F238E27FC236}">
              <a16:creationId xmlns:a16="http://schemas.microsoft.com/office/drawing/2014/main" id="{F5584C75-8D3A-4A9A-9285-7B2C12DF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3371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11793</xdr:colOff>
      <xdr:row>20</xdr:row>
      <xdr:rowOff>11711</xdr:rowOff>
    </xdr:from>
    <xdr:ext cx="990600" cy="1428750"/>
    <xdr:pic>
      <xdr:nvPicPr>
        <xdr:cNvPr id="179" name="Picture 178">
          <a:extLst>
            <a:ext uri="{FF2B5EF4-FFF2-40B4-BE49-F238E27FC236}">
              <a16:creationId xmlns:a16="http://schemas.microsoft.com/office/drawing/2014/main" id="{00AA65E9-154B-4AD6-8A6C-58FEF075E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56943" y="8749311"/>
          <a:ext cx="14287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22</xdr:row>
      <xdr:rowOff>0</xdr:rowOff>
    </xdr:from>
    <xdr:ext cx="996950" cy="1428750"/>
    <xdr:pic>
      <xdr:nvPicPr>
        <xdr:cNvPr id="180" name="Picture 179">
          <a:extLst>
            <a:ext uri="{FF2B5EF4-FFF2-40B4-BE49-F238E27FC236}">
              <a16:creationId xmlns:a16="http://schemas.microsoft.com/office/drawing/2014/main" id="{040FBE09-EE43-447B-A5E9-9AB5147FF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119443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10122</xdr:colOff>
      <xdr:row>21</xdr:row>
      <xdr:rowOff>11608</xdr:rowOff>
    </xdr:from>
    <xdr:ext cx="990600" cy="1426152"/>
    <xdr:pic>
      <xdr:nvPicPr>
        <xdr:cNvPr id="181" name="Picture 180" descr="https://www.tcdb.com/Images/Thumbs/Basketball/2082/2082_237Thumb2.jpg">
          <a:extLst>
            <a:ext uri="{FF2B5EF4-FFF2-40B4-BE49-F238E27FC236}">
              <a16:creationId xmlns:a16="http://schemas.microsoft.com/office/drawing/2014/main" id="{67F03786-E075-4876-95A1-7C493A741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56571" y="10462409"/>
          <a:ext cx="142615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18</xdr:row>
      <xdr:rowOff>0</xdr:rowOff>
    </xdr:from>
    <xdr:ext cx="1016000" cy="1428750"/>
    <xdr:pic>
      <xdr:nvPicPr>
        <xdr:cNvPr id="182" name="Picture 181">
          <a:extLst>
            <a:ext uri="{FF2B5EF4-FFF2-40B4-BE49-F238E27FC236}">
              <a16:creationId xmlns:a16="http://schemas.microsoft.com/office/drawing/2014/main" id="{AEEC02DE-DD0D-480D-AFB5-E0C7F47C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5086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6</xdr:row>
      <xdr:rowOff>0</xdr:rowOff>
    </xdr:from>
    <xdr:ext cx="762000" cy="1428750"/>
    <xdr:pic>
      <xdr:nvPicPr>
        <xdr:cNvPr id="183" name="Picture 182">
          <a:extLst>
            <a:ext uri="{FF2B5EF4-FFF2-40B4-BE49-F238E27FC236}">
              <a16:creationId xmlns:a16="http://schemas.microsoft.com/office/drawing/2014/main" id="{94F5F9C8-A547-411F-ABF6-69BF55B6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05150" y="1657350"/>
          <a:ext cx="762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200</xdr:col>
      <xdr:colOff>0</xdr:colOff>
      <xdr:row>6</xdr:row>
      <xdr:rowOff>0</xdr:rowOff>
    </xdr:from>
    <xdr:ext cx="777875" cy="1428750"/>
    <xdr:pic>
      <xdr:nvPicPr>
        <xdr:cNvPr id="184" name="Picture 183">
          <a:extLst>
            <a:ext uri="{FF2B5EF4-FFF2-40B4-BE49-F238E27FC236}">
              <a16:creationId xmlns:a16="http://schemas.microsoft.com/office/drawing/2014/main" id="{598A5697-5F60-4B0D-996A-EB0D1DD0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5900" y="1657350"/>
          <a:ext cx="7778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200</xdr:col>
      <xdr:colOff>0</xdr:colOff>
      <xdr:row>7</xdr:row>
      <xdr:rowOff>0</xdr:rowOff>
    </xdr:from>
    <xdr:ext cx="742950" cy="1428750"/>
    <xdr:pic>
      <xdr:nvPicPr>
        <xdr:cNvPr id="185" name="Picture 184">
          <a:extLst>
            <a:ext uri="{FF2B5EF4-FFF2-40B4-BE49-F238E27FC236}">
              <a16:creationId xmlns:a16="http://schemas.microsoft.com/office/drawing/2014/main" id="{A626EA82-CD00-40FF-B11A-45849B26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5900" y="3371850"/>
          <a:ext cx="742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200</xdr:col>
      <xdr:colOff>0</xdr:colOff>
      <xdr:row>8</xdr:row>
      <xdr:rowOff>0</xdr:rowOff>
    </xdr:from>
    <xdr:ext cx="742950" cy="1428750"/>
    <xdr:pic>
      <xdr:nvPicPr>
        <xdr:cNvPr id="186" name="Picture 185">
          <a:extLst>
            <a:ext uri="{FF2B5EF4-FFF2-40B4-BE49-F238E27FC236}">
              <a16:creationId xmlns:a16="http://schemas.microsoft.com/office/drawing/2014/main" id="{FD821836-7C80-4CEC-AAAB-3135F5281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5900" y="5086350"/>
          <a:ext cx="742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</xdr:row>
      <xdr:rowOff>0</xdr:rowOff>
    </xdr:from>
    <xdr:ext cx="758825" cy="1428750"/>
    <xdr:pic>
      <xdr:nvPicPr>
        <xdr:cNvPr id="187" name="Picture 186">
          <a:extLst>
            <a:ext uri="{FF2B5EF4-FFF2-40B4-BE49-F238E27FC236}">
              <a16:creationId xmlns:a16="http://schemas.microsoft.com/office/drawing/2014/main" id="{EE825F58-2F27-4103-83F9-3B871AF05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13658850"/>
          <a:ext cx="7588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6</xdr:row>
      <xdr:rowOff>0</xdr:rowOff>
    </xdr:from>
    <xdr:ext cx="1016000" cy="1428750"/>
    <xdr:pic>
      <xdr:nvPicPr>
        <xdr:cNvPr id="188" name="Picture 187">
          <a:extLst>
            <a:ext uri="{FF2B5EF4-FFF2-40B4-BE49-F238E27FC236}">
              <a16:creationId xmlns:a16="http://schemas.microsoft.com/office/drawing/2014/main" id="{4CD7BB2E-34C4-4D3A-BF89-CFDC33147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9300" y="1657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7</xdr:row>
      <xdr:rowOff>0</xdr:rowOff>
    </xdr:from>
    <xdr:ext cx="996950" cy="1428750"/>
    <xdr:pic>
      <xdr:nvPicPr>
        <xdr:cNvPr id="189" name="Picture 188">
          <a:extLst>
            <a:ext uri="{FF2B5EF4-FFF2-40B4-BE49-F238E27FC236}">
              <a16:creationId xmlns:a16="http://schemas.microsoft.com/office/drawing/2014/main" id="{39A38B37-0DF4-42D1-BE0C-06FEEE4E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9300" y="33718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6</xdr:row>
      <xdr:rowOff>0</xdr:rowOff>
    </xdr:from>
    <xdr:ext cx="1019175" cy="1428750"/>
    <xdr:pic>
      <xdr:nvPicPr>
        <xdr:cNvPr id="2" name="Picture 1" descr="https://www.tcdb.com/Images/Thumbs/Basketball/2480/2480_12580932Thumb2.jpg">
          <a:extLst>
            <a:ext uri="{FF2B5EF4-FFF2-40B4-BE49-F238E27FC236}">
              <a16:creationId xmlns:a16="http://schemas.microsoft.com/office/drawing/2014/main" id="{F6C8EF2B-92BD-4593-8F7E-596BDC722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8450" y="1581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7</xdr:row>
      <xdr:rowOff>0</xdr:rowOff>
    </xdr:from>
    <xdr:ext cx="1024128" cy="1428750"/>
    <xdr:pic>
      <xdr:nvPicPr>
        <xdr:cNvPr id="3" name="Picture 2" descr="https://www.tcdb.com/Images/Thumbs/Basketball/2480/2480_12580932Thumb2.jpg">
          <a:extLst>
            <a:ext uri="{FF2B5EF4-FFF2-40B4-BE49-F238E27FC236}">
              <a16:creationId xmlns:a16="http://schemas.microsoft.com/office/drawing/2014/main" id="{79CBC684-9E49-4217-9D04-09897465A6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8450" y="3295650"/>
          <a:ext cx="1024128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</xdr:col>
      <xdr:colOff>0</xdr:colOff>
      <xdr:row>6</xdr:row>
      <xdr:rowOff>0</xdr:rowOff>
    </xdr:from>
    <xdr:ext cx="1024128" cy="1426464"/>
    <xdr:pic>
      <xdr:nvPicPr>
        <xdr:cNvPr id="4" name="Picture 3" descr="https://www.tcdb.com/Images/Thumbs/Basketball/300033/300033_18021031Thumb2.jpg">
          <a:extLst>
            <a:ext uri="{FF2B5EF4-FFF2-40B4-BE49-F238E27FC236}">
              <a16:creationId xmlns:a16="http://schemas.microsoft.com/office/drawing/2014/main" id="{17461CE3-039A-4496-904A-ADBDFF559F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6450" y="1581150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</xdr:col>
      <xdr:colOff>0</xdr:colOff>
      <xdr:row>7</xdr:row>
      <xdr:rowOff>0</xdr:rowOff>
    </xdr:from>
    <xdr:ext cx="1024128" cy="1426464"/>
    <xdr:pic>
      <xdr:nvPicPr>
        <xdr:cNvPr id="5" name="Picture 4" descr="https://www.tcdb.com/Images/Thumbs/Basketball/300034/300034_18021036Thumb2.jpg">
          <a:extLst>
            <a:ext uri="{FF2B5EF4-FFF2-40B4-BE49-F238E27FC236}">
              <a16:creationId xmlns:a16="http://schemas.microsoft.com/office/drawing/2014/main" id="{FE4ABE7F-23D3-4E0D-8EC5-CCFD3664B7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32050" y="3295650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8432</xdr:colOff>
      <xdr:row>7</xdr:row>
      <xdr:rowOff>14144</xdr:rowOff>
    </xdr:from>
    <xdr:ext cx="1001756" cy="1426464"/>
    <xdr:pic>
      <xdr:nvPicPr>
        <xdr:cNvPr id="6" name="Picture 5" descr="Picture 1 of 3">
          <a:extLst>
            <a:ext uri="{FF2B5EF4-FFF2-40B4-BE49-F238E27FC236}">
              <a16:creationId xmlns:a16="http://schemas.microsoft.com/office/drawing/2014/main" id="{FE089E9E-2198-4D8E-8DF8-834ECF3D8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39" t="29317" r="56672" b="9292"/>
        <a:stretch/>
      </xdr:blipFill>
      <xdr:spPr bwMode="auto">
        <a:xfrm>
          <a:off x="39832457" y="3312969"/>
          <a:ext cx="1001756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17998</xdr:colOff>
      <xdr:row>6</xdr:row>
      <xdr:rowOff>20491</xdr:rowOff>
    </xdr:from>
    <xdr:ext cx="996959" cy="1426464"/>
    <xdr:pic>
      <xdr:nvPicPr>
        <xdr:cNvPr id="7" name="Picture 6" descr="Picture 1 of 1">
          <a:extLst>
            <a:ext uri="{FF2B5EF4-FFF2-40B4-BE49-F238E27FC236}">
              <a16:creationId xmlns:a16="http://schemas.microsoft.com/office/drawing/2014/main" id="{572E2078-FD17-49C1-88F0-BB59B4B9D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69" t="17088" r="59948" b="7030"/>
        <a:stretch/>
      </xdr:blipFill>
      <xdr:spPr bwMode="auto">
        <a:xfrm>
          <a:off x="39838848" y="1601641"/>
          <a:ext cx="996959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</xdr:col>
      <xdr:colOff>17706</xdr:colOff>
      <xdr:row>6</xdr:row>
      <xdr:rowOff>17317</xdr:rowOff>
    </xdr:from>
    <xdr:ext cx="1024128" cy="1426464"/>
    <xdr:pic>
      <xdr:nvPicPr>
        <xdr:cNvPr id="8" name="Picture 7" descr="Picture 1 of 1">
          <a:extLst>
            <a:ext uri="{FF2B5EF4-FFF2-40B4-BE49-F238E27FC236}">
              <a16:creationId xmlns:a16="http://schemas.microsoft.com/office/drawing/2014/main" id="{4970A799-CB20-4088-A770-CFC14B0AE8F9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5" t="26045" r="12845" b="12512"/>
        <a:stretch/>
      </xdr:blipFill>
      <xdr:spPr bwMode="auto">
        <a:xfrm>
          <a:off x="53249756" y="1598467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118</xdr:col>
      <xdr:colOff>11202</xdr:colOff>
      <xdr:row>6</xdr:row>
      <xdr:rowOff>10431</xdr:rowOff>
    </xdr:from>
    <xdr:ext cx="1024128" cy="1426464"/>
    <xdr:pic>
      <xdr:nvPicPr>
        <xdr:cNvPr id="9" name="Picture 8" descr="1996 MICHAEL JORDAN FLEER FLAIR Showcase 23K GOLD CARD - GEM MINT 10 - Picture 1 of 2">
          <a:extLst>
            <a:ext uri="{FF2B5EF4-FFF2-40B4-BE49-F238E27FC236}">
              <a16:creationId xmlns:a16="http://schemas.microsoft.com/office/drawing/2014/main" id="{A502CBC8-F9C2-42CA-B5E5-E2692A0292EE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1" t="28380" r="56633" b="9010"/>
        <a:stretch/>
      </xdr:blipFill>
      <xdr:spPr bwMode="auto">
        <a:xfrm>
          <a:off x="73363227" y="1594756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6</xdr:row>
      <xdr:rowOff>0</xdr:rowOff>
    </xdr:from>
    <xdr:ext cx="1024128" cy="1426464"/>
    <xdr:pic>
      <xdr:nvPicPr>
        <xdr:cNvPr id="10" name="Picture 9" descr="https://www.tcdb.com/Images/Thumbs/Basketball/167260/167260_10707938Thumb2.jpg">
          <a:extLst>
            <a:ext uri="{FF2B5EF4-FFF2-40B4-BE49-F238E27FC236}">
              <a16:creationId xmlns:a16="http://schemas.microsoft.com/office/drawing/2014/main" id="{11AC06A0-A0F6-403A-9AD7-64B1AFEFF0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4050" y="1581150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19</xdr:row>
      <xdr:rowOff>0</xdr:rowOff>
    </xdr:from>
    <xdr:ext cx="1024128" cy="1426464"/>
    <xdr:pic>
      <xdr:nvPicPr>
        <xdr:cNvPr id="11" name="Picture 10" descr="https://www.tcdb.com/Images/Thumbs/Basketball/167262/167262_10707968Thumb2.jpg">
          <a:extLst>
            <a:ext uri="{FF2B5EF4-FFF2-40B4-BE49-F238E27FC236}">
              <a16:creationId xmlns:a16="http://schemas.microsoft.com/office/drawing/2014/main" id="{BCE9A9CD-0951-4C5A-8668-DB8FF5DDD5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4050" y="23869650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20494</xdr:colOff>
      <xdr:row>18</xdr:row>
      <xdr:rowOff>19819</xdr:rowOff>
    </xdr:from>
    <xdr:ext cx="1024128" cy="1426464"/>
    <xdr:pic>
      <xdr:nvPicPr>
        <xdr:cNvPr id="12" name="Picture 11" descr="Picture 1 of 3">
          <a:extLst>
            <a:ext uri="{FF2B5EF4-FFF2-40B4-BE49-F238E27FC236}">
              <a16:creationId xmlns:a16="http://schemas.microsoft.com/office/drawing/2014/main" id="{FD26A4EA-1475-4B4E-8686-64CC2083BEB3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49" t="29742" r="56866" b="9948"/>
        <a:stretch/>
      </xdr:blipFill>
      <xdr:spPr bwMode="auto">
        <a:xfrm>
          <a:off x="19724544" y="22174969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20610</xdr:colOff>
      <xdr:row>10</xdr:row>
      <xdr:rowOff>17318</xdr:rowOff>
    </xdr:from>
    <xdr:ext cx="1024128" cy="1426464"/>
    <xdr:pic>
      <xdr:nvPicPr>
        <xdr:cNvPr id="13" name="Picture 12" descr="Picture 1 of 2">
          <a:extLst>
            <a:ext uri="{FF2B5EF4-FFF2-40B4-BE49-F238E27FC236}">
              <a16:creationId xmlns:a16="http://schemas.microsoft.com/office/drawing/2014/main" id="{7D53C06F-F406-4A6D-8A66-36F8A9233C91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38" t="28063" r="10234" b="8751"/>
        <a:stretch/>
      </xdr:blipFill>
      <xdr:spPr bwMode="auto">
        <a:xfrm>
          <a:off x="19724660" y="8456468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11304</xdr:colOff>
      <xdr:row>7</xdr:row>
      <xdr:rowOff>7794</xdr:rowOff>
    </xdr:from>
    <xdr:ext cx="1024128" cy="1426464"/>
    <xdr:pic>
      <xdr:nvPicPr>
        <xdr:cNvPr id="14" name="Picture 13" descr="Picture 1 of 3">
          <a:extLst>
            <a:ext uri="{FF2B5EF4-FFF2-40B4-BE49-F238E27FC236}">
              <a16:creationId xmlns:a16="http://schemas.microsoft.com/office/drawing/2014/main" id="{F133F9C3-6A33-4FAC-80D9-F5FDA3015614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3" t="6489" r="3464" b="2903"/>
        <a:stretch/>
      </xdr:blipFill>
      <xdr:spPr bwMode="auto">
        <a:xfrm>
          <a:off x="19718529" y="3306619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9783</xdr:colOff>
      <xdr:row>16</xdr:row>
      <xdr:rowOff>10968</xdr:rowOff>
    </xdr:from>
    <xdr:ext cx="1024128" cy="1426464"/>
    <xdr:pic>
      <xdr:nvPicPr>
        <xdr:cNvPr id="15" name="Picture 14" descr="Picture 1 of 3">
          <a:extLst>
            <a:ext uri="{FF2B5EF4-FFF2-40B4-BE49-F238E27FC236}">
              <a16:creationId xmlns:a16="http://schemas.microsoft.com/office/drawing/2014/main" id="{DD8A968E-CDCE-4B6A-A36F-818DBC85B973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0" t="10206" r="12937" b="15234"/>
        <a:stretch/>
      </xdr:blipFill>
      <xdr:spPr bwMode="auto">
        <a:xfrm>
          <a:off x="19717008" y="18740293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</xdr:col>
      <xdr:colOff>14142</xdr:colOff>
      <xdr:row>7</xdr:row>
      <xdr:rowOff>12213</xdr:rowOff>
    </xdr:from>
    <xdr:ext cx="1024128" cy="1426464"/>
    <xdr:pic>
      <xdr:nvPicPr>
        <xdr:cNvPr id="16" name="Picture 15" descr="Picture 1 of 2">
          <a:extLst>
            <a:ext uri="{FF2B5EF4-FFF2-40B4-BE49-F238E27FC236}">
              <a16:creationId xmlns:a16="http://schemas.microsoft.com/office/drawing/2014/main" id="{1D7BB8A7-D0D8-42CE-B2B9-7A1B3A067D25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6" t="30484" r="12915" b="8175"/>
        <a:stretch/>
      </xdr:blipFill>
      <xdr:spPr bwMode="auto">
        <a:xfrm>
          <a:off x="46543767" y="3311038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7400</xdr:colOff>
      <xdr:row>17</xdr:row>
      <xdr:rowOff>14143</xdr:rowOff>
    </xdr:from>
    <xdr:ext cx="1024128" cy="1426464"/>
    <xdr:pic>
      <xdr:nvPicPr>
        <xdr:cNvPr id="17" name="Picture 16">
          <a:extLst>
            <a:ext uri="{FF2B5EF4-FFF2-40B4-BE49-F238E27FC236}">
              <a16:creationId xmlns:a16="http://schemas.microsoft.com/office/drawing/2014/main" id="{0826E011-D671-4F47-B310-42C5D8568D36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7" t="28270" r="58990" b="6395"/>
        <a:stretch/>
      </xdr:blipFill>
      <xdr:spPr bwMode="auto">
        <a:xfrm>
          <a:off x="19714625" y="20457968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10969</xdr:colOff>
      <xdr:row>11</xdr:row>
      <xdr:rowOff>21176</xdr:rowOff>
    </xdr:from>
    <xdr:ext cx="1024128" cy="1426464"/>
    <xdr:pic>
      <xdr:nvPicPr>
        <xdr:cNvPr id="18" name="Picture 17">
          <a:extLst>
            <a:ext uri="{FF2B5EF4-FFF2-40B4-BE49-F238E27FC236}">
              <a16:creationId xmlns:a16="http://schemas.microsoft.com/office/drawing/2014/main" id="{C1E3A179-4771-43A9-B41A-2E2487A5A01A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33" t="28369" r="58962" b="6511"/>
        <a:stretch/>
      </xdr:blipFill>
      <xdr:spPr bwMode="auto">
        <a:xfrm>
          <a:off x="19718194" y="10174826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30019</xdr:colOff>
      <xdr:row>6</xdr:row>
      <xdr:rowOff>25712</xdr:rowOff>
    </xdr:from>
    <xdr:ext cx="1024128" cy="1426464"/>
    <xdr:pic>
      <xdr:nvPicPr>
        <xdr:cNvPr id="19" name="Picture 18">
          <a:extLst>
            <a:ext uri="{FF2B5EF4-FFF2-40B4-BE49-F238E27FC236}">
              <a16:creationId xmlns:a16="http://schemas.microsoft.com/office/drawing/2014/main" id="{2A1DFA1D-2AB2-4570-B3A4-8CC6142048CD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45" t="28073" r="60403" b="9179"/>
        <a:stretch/>
      </xdr:blipFill>
      <xdr:spPr bwMode="auto">
        <a:xfrm>
          <a:off x="26442844" y="1610037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9655</xdr:colOff>
      <xdr:row>7</xdr:row>
      <xdr:rowOff>3174</xdr:rowOff>
    </xdr:from>
    <xdr:ext cx="1024128" cy="1426464"/>
    <xdr:pic>
      <xdr:nvPicPr>
        <xdr:cNvPr id="20" name="Picture 19" descr="Picture 1 of 3">
          <a:extLst>
            <a:ext uri="{FF2B5EF4-FFF2-40B4-BE49-F238E27FC236}">
              <a16:creationId xmlns:a16="http://schemas.microsoft.com/office/drawing/2014/main" id="{B90C491D-51B0-4C80-A620-446E67E16D4B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07" t="29969" r="57347" b="10386"/>
        <a:stretch/>
      </xdr:blipFill>
      <xdr:spPr bwMode="auto">
        <a:xfrm>
          <a:off x="26422480" y="3298824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</xdr:col>
      <xdr:colOff>10158</xdr:colOff>
      <xdr:row>8</xdr:row>
      <xdr:rowOff>12699</xdr:rowOff>
    </xdr:from>
    <xdr:ext cx="1024128" cy="1426464"/>
    <xdr:pic>
      <xdr:nvPicPr>
        <xdr:cNvPr id="21" name="Picture 20" descr="1999-00 23KT Gold Michael Jordan, Fleer Ultra Court Masters Limited #'d 240/4523 - Picture 1 of 2">
          <a:extLst>
            <a:ext uri="{FF2B5EF4-FFF2-40B4-BE49-F238E27FC236}">
              <a16:creationId xmlns:a16="http://schemas.microsoft.com/office/drawing/2014/main" id="{2D19A984-9ECA-4CA8-8E31-ACA227068E68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7" t="6432" r="7128" b="5482"/>
        <a:stretch/>
      </xdr:blipFill>
      <xdr:spPr bwMode="auto">
        <a:xfrm>
          <a:off x="46539783" y="5026024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22792</xdr:colOff>
      <xdr:row>13</xdr:row>
      <xdr:rowOff>20493</xdr:rowOff>
    </xdr:from>
    <xdr:ext cx="1024128" cy="1426464"/>
    <xdr:pic>
      <xdr:nvPicPr>
        <xdr:cNvPr id="22" name="Picture 21">
          <a:extLst>
            <a:ext uri="{FF2B5EF4-FFF2-40B4-BE49-F238E27FC236}">
              <a16:creationId xmlns:a16="http://schemas.microsoft.com/office/drawing/2014/main" id="{B54018E3-66EB-4205-A391-BA69D52239BB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5" t="3872" r="3919" b="3983"/>
        <a:stretch/>
      </xdr:blipFill>
      <xdr:spPr bwMode="auto">
        <a:xfrm>
          <a:off x="19726842" y="13603143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8809</xdr:colOff>
      <xdr:row>8</xdr:row>
      <xdr:rowOff>20493</xdr:rowOff>
    </xdr:from>
    <xdr:ext cx="1024128" cy="1426464"/>
    <xdr:pic>
      <xdr:nvPicPr>
        <xdr:cNvPr id="23" name="Picture 22" descr="🏀1996 FLEER 23KT Gold Card 4523 Scottie Pippen Michael Jordan 6-Time Champions - Picture 1 of 14">
          <a:extLst>
            <a:ext uri="{FF2B5EF4-FFF2-40B4-BE49-F238E27FC236}">
              <a16:creationId xmlns:a16="http://schemas.microsoft.com/office/drawing/2014/main" id="{F02D9A69-C86D-4CA0-9177-7516FEB07AFA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93" t="17529" r="14674" b="17832"/>
        <a:stretch/>
      </xdr:blipFill>
      <xdr:spPr bwMode="auto">
        <a:xfrm>
          <a:off x="33127234" y="5030643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13975</xdr:colOff>
      <xdr:row>7</xdr:row>
      <xdr:rowOff>7794</xdr:rowOff>
    </xdr:from>
    <xdr:ext cx="1024128" cy="1426464"/>
    <xdr:pic>
      <xdr:nvPicPr>
        <xdr:cNvPr id="24" name="Picture 23" descr="4 Jordan 23 kt Gold Limited Edition Basketball Cards 6x Champions #4523 - Picture 1 of 4">
          <a:extLst>
            <a:ext uri="{FF2B5EF4-FFF2-40B4-BE49-F238E27FC236}">
              <a16:creationId xmlns:a16="http://schemas.microsoft.com/office/drawing/2014/main" id="{CC95632E-6E14-48A6-9489-A04F7569993B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31" t="52577" r="4198" b="3297"/>
        <a:stretch/>
      </xdr:blipFill>
      <xdr:spPr bwMode="auto">
        <a:xfrm>
          <a:off x="33132400" y="3306619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10967</xdr:colOff>
      <xdr:row>6</xdr:row>
      <xdr:rowOff>10362</xdr:rowOff>
    </xdr:from>
    <xdr:ext cx="1024128" cy="1426464"/>
    <xdr:pic>
      <xdr:nvPicPr>
        <xdr:cNvPr id="25" name="Picture 24" descr="4 Jordan 23 kt Gold Limited Edition Basketball Cards 6x Champions #4523 - Picture 1 of 4">
          <a:extLst>
            <a:ext uri="{FF2B5EF4-FFF2-40B4-BE49-F238E27FC236}">
              <a16:creationId xmlns:a16="http://schemas.microsoft.com/office/drawing/2014/main" id="{829EC868-2F74-4325-A090-003565CC4C60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8" t="3811" r="51903" b="52871"/>
        <a:stretch/>
      </xdr:blipFill>
      <xdr:spPr bwMode="auto">
        <a:xfrm>
          <a:off x="33129392" y="1594687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20492</xdr:colOff>
      <xdr:row>9</xdr:row>
      <xdr:rowOff>11989</xdr:rowOff>
    </xdr:from>
    <xdr:ext cx="1024128" cy="1426464"/>
    <xdr:pic>
      <xdr:nvPicPr>
        <xdr:cNvPr id="26" name="Picture 25" descr="1997 MICHAEL JORDAN EX-2000 Credentials Tribute RC 23k Gold Facsimile Auto /4523 - Picture 1 of 2">
          <a:extLst>
            <a:ext uri="{FF2B5EF4-FFF2-40B4-BE49-F238E27FC236}">
              <a16:creationId xmlns:a16="http://schemas.microsoft.com/office/drawing/2014/main" id="{76B42C0F-D495-4B8F-B3FF-C1F1C4D3B884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88" t="13676" r="23114" b="21808"/>
        <a:stretch/>
      </xdr:blipFill>
      <xdr:spPr bwMode="auto">
        <a:xfrm>
          <a:off x="33135742" y="6739814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20370</xdr:colOff>
      <xdr:row>10</xdr:row>
      <xdr:rowOff>20493</xdr:rowOff>
    </xdr:from>
    <xdr:ext cx="1024128" cy="1426464"/>
    <xdr:pic>
      <xdr:nvPicPr>
        <xdr:cNvPr id="27" name="Picture 26" descr="1997 HOOPS 23K GOLD BULLS STARTING FIVE BASKETBALL TEXTURE-6 TIME CHAMP PSA 9!!! - Picture 1 of 2">
          <a:extLst>
            <a:ext uri="{FF2B5EF4-FFF2-40B4-BE49-F238E27FC236}">
              <a16:creationId xmlns:a16="http://schemas.microsoft.com/office/drawing/2014/main" id="{8075B417-0C70-4642-9F08-D97BD923A949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4" t="26693" r="11103" b="7733"/>
        <a:stretch/>
      </xdr:blipFill>
      <xdr:spPr bwMode="auto">
        <a:xfrm>
          <a:off x="33135620" y="8459643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7793</xdr:colOff>
      <xdr:row>11</xdr:row>
      <xdr:rowOff>20494</xdr:rowOff>
    </xdr:from>
    <xdr:ext cx="1024128" cy="1426464"/>
    <xdr:pic>
      <xdr:nvPicPr>
        <xdr:cNvPr id="28" name="Picture 27" descr="1997 MICHAEL JORDAN FLEER 23KT GOLD STARTING FIVE 6 TIME CHAMPIONS #4673 BULLS - Picture 1 of 2">
          <a:extLst>
            <a:ext uri="{FF2B5EF4-FFF2-40B4-BE49-F238E27FC236}">
              <a16:creationId xmlns:a16="http://schemas.microsoft.com/office/drawing/2014/main" id="{4E49FD74-6A85-41D9-93AD-F8F4835F5668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5" t="7701" r="29285" b="4040"/>
        <a:stretch/>
      </xdr:blipFill>
      <xdr:spPr bwMode="auto">
        <a:xfrm>
          <a:off x="33126218" y="10174144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107</xdr:col>
      <xdr:colOff>11636</xdr:colOff>
      <xdr:row>6</xdr:row>
      <xdr:rowOff>17317</xdr:rowOff>
    </xdr:from>
    <xdr:ext cx="1024128" cy="1426464"/>
    <xdr:pic>
      <xdr:nvPicPr>
        <xdr:cNvPr id="29" name="Picture 28" descr="Picture 3 of 3">
          <a:extLst>
            <a:ext uri="{FF2B5EF4-FFF2-40B4-BE49-F238E27FC236}">
              <a16:creationId xmlns:a16="http://schemas.microsoft.com/office/drawing/2014/main" id="{40420A58-4E03-4A9D-B51A-AAE54721D31D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00" t="30535" r="57274" b="11085"/>
        <a:stretch/>
      </xdr:blipFill>
      <xdr:spPr bwMode="auto">
        <a:xfrm>
          <a:off x="66658061" y="1598467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107</xdr:col>
      <xdr:colOff>14143</xdr:colOff>
      <xdr:row>7</xdr:row>
      <xdr:rowOff>7793</xdr:rowOff>
    </xdr:from>
    <xdr:ext cx="1024128" cy="1426464"/>
    <xdr:pic>
      <xdr:nvPicPr>
        <xdr:cNvPr id="30" name="Picture 29" descr="Michael Jordan (Chicago Bulls Starting Five)">
          <a:extLst>
            <a:ext uri="{FF2B5EF4-FFF2-40B4-BE49-F238E27FC236}">
              <a16:creationId xmlns:a16="http://schemas.microsoft.com/office/drawing/2014/main" id="{4AD66158-AA71-4E30-A39E-9F42B3102A3D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9" t="4997" r="8914" b="8485"/>
        <a:stretch/>
      </xdr:blipFill>
      <xdr:spPr bwMode="auto">
        <a:xfrm>
          <a:off x="66660568" y="3306618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96</xdr:col>
      <xdr:colOff>20494</xdr:colOff>
      <xdr:row>6</xdr:row>
      <xdr:rowOff>24262</xdr:rowOff>
    </xdr:from>
    <xdr:ext cx="1024128" cy="1426464"/>
    <xdr:pic>
      <xdr:nvPicPr>
        <xdr:cNvPr id="31" name="Picture 30" descr="Picture 1 of 3">
          <a:extLst>
            <a:ext uri="{FF2B5EF4-FFF2-40B4-BE49-F238E27FC236}">
              <a16:creationId xmlns:a16="http://schemas.microsoft.com/office/drawing/2014/main" id="{D1BCF826-D61A-4B2B-ABED-C1B744534F57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23" t="30370" r="57064" b="11012"/>
        <a:stretch/>
      </xdr:blipFill>
      <xdr:spPr bwMode="auto">
        <a:xfrm>
          <a:off x="59958144" y="1608587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96</xdr:col>
      <xdr:colOff>28841</xdr:colOff>
      <xdr:row>7</xdr:row>
      <xdr:rowOff>10968</xdr:rowOff>
    </xdr:from>
    <xdr:ext cx="1024128" cy="1426464"/>
    <xdr:pic>
      <xdr:nvPicPr>
        <xdr:cNvPr id="32" name="Picture 31" descr="Picture 1 of 3">
          <a:extLst>
            <a:ext uri="{FF2B5EF4-FFF2-40B4-BE49-F238E27FC236}">
              <a16:creationId xmlns:a16="http://schemas.microsoft.com/office/drawing/2014/main" id="{9A066284-0B44-4A8B-BC69-942CE47E1B55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22" t="30159" r="57503" b="10386"/>
        <a:stretch/>
      </xdr:blipFill>
      <xdr:spPr bwMode="auto">
        <a:xfrm>
          <a:off x="59969666" y="3309793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118</xdr:col>
      <xdr:colOff>14144</xdr:colOff>
      <xdr:row>7</xdr:row>
      <xdr:rowOff>18157</xdr:rowOff>
    </xdr:from>
    <xdr:ext cx="1024128" cy="1426464"/>
    <xdr:pic>
      <xdr:nvPicPr>
        <xdr:cNvPr id="33" name="Picture 32" descr="MICHAEL JORDAN 1997/98 SKYBOX Z-FORCE WCG 10 23 KARAT GOLD PARALLEL S3487">
          <a:extLst>
            <a:ext uri="{FF2B5EF4-FFF2-40B4-BE49-F238E27FC236}">
              <a16:creationId xmlns:a16="http://schemas.microsoft.com/office/drawing/2014/main" id="{391CEBAF-C521-4E99-A486-08FA61A35664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93" t="27399" r="13246" b="9369"/>
        <a:stretch/>
      </xdr:blipFill>
      <xdr:spPr bwMode="auto">
        <a:xfrm>
          <a:off x="73366169" y="3313807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10218</xdr:colOff>
      <xdr:row>12</xdr:row>
      <xdr:rowOff>17318</xdr:rowOff>
    </xdr:from>
    <xdr:ext cx="1030478" cy="1423289"/>
    <xdr:pic>
      <xdr:nvPicPr>
        <xdr:cNvPr id="34" name="Picture 33" descr="1997 Bleachers Fleer 23KT Gold Set of Six Michael Jordan Included 1738/10000 - Picture 1 of 12">
          <a:extLst>
            <a:ext uri="{FF2B5EF4-FFF2-40B4-BE49-F238E27FC236}">
              <a16:creationId xmlns:a16="http://schemas.microsoft.com/office/drawing/2014/main" id="{E51A9DEF-3A7B-4366-9980-C1A3AD4283F6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35056" r="72301" b="38059"/>
        <a:stretch/>
      </xdr:blipFill>
      <xdr:spPr bwMode="auto">
        <a:xfrm>
          <a:off x="19717443" y="11885468"/>
          <a:ext cx="1030478" cy="1423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96</xdr:col>
      <xdr:colOff>10967</xdr:colOff>
      <xdr:row>10</xdr:row>
      <xdr:rowOff>7794</xdr:rowOff>
    </xdr:from>
    <xdr:ext cx="1025534" cy="1426464"/>
    <xdr:pic>
      <xdr:nvPicPr>
        <xdr:cNvPr id="35" name="Picture 34" descr="1997 BLEACHERS FLEER EX 23KT GOLD AUTO MICHAEL JORDAN - Picture 1 of 2">
          <a:extLst>
            <a:ext uri="{FF2B5EF4-FFF2-40B4-BE49-F238E27FC236}">
              <a16:creationId xmlns:a16="http://schemas.microsoft.com/office/drawing/2014/main" id="{595667C2-9460-4083-986C-9752DC5D7E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56" t="16269" r="9316" b="15681"/>
        <a:stretch/>
      </xdr:blipFill>
      <xdr:spPr bwMode="auto">
        <a:xfrm>
          <a:off x="59951792" y="8450119"/>
          <a:ext cx="1025534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6351</xdr:colOff>
      <xdr:row>19</xdr:row>
      <xdr:rowOff>37811</xdr:rowOff>
    </xdr:from>
    <xdr:ext cx="1026205" cy="1426464"/>
    <xdr:pic>
      <xdr:nvPicPr>
        <xdr:cNvPr id="36" name="Picture 35">
          <a:extLst>
            <a:ext uri="{FF2B5EF4-FFF2-40B4-BE49-F238E27FC236}">
              <a16:creationId xmlns:a16="http://schemas.microsoft.com/office/drawing/2014/main" id="{F66BD6E8-90D9-4D2D-8117-9A97A00A39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26319" t="4151" r="50633" b="49833"/>
        <a:stretch/>
      </xdr:blipFill>
      <xdr:spPr>
        <a:xfrm>
          <a:off x="6003926" y="23907461"/>
          <a:ext cx="1026205" cy="1426464"/>
        </a:xfrm>
        <a:prstGeom prst="rect">
          <a:avLst/>
        </a:prstGeom>
      </xdr:spPr>
    </xdr:pic>
    <xdr:clientData/>
  </xdr:oneCellAnchor>
  <xdr:oneCellAnchor>
    <xdr:from>
      <xdr:col>8</xdr:col>
      <xdr:colOff>10290</xdr:colOff>
      <xdr:row>10</xdr:row>
      <xdr:rowOff>7793</xdr:rowOff>
    </xdr:from>
    <xdr:ext cx="1005378" cy="1426464"/>
    <xdr:pic>
      <xdr:nvPicPr>
        <xdr:cNvPr id="37" name="Picture 36" descr="Picture 1 of 5">
          <a:extLst>
            <a:ext uri="{FF2B5EF4-FFF2-40B4-BE49-F238E27FC236}">
              <a16:creationId xmlns:a16="http://schemas.microsoft.com/office/drawing/2014/main" id="{0CA7C36A-5840-4FD8-BF84-8E9D7781FC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3" t="9288" r="7889" b="3439"/>
        <a:stretch/>
      </xdr:blipFill>
      <xdr:spPr bwMode="auto">
        <a:xfrm>
          <a:off x="6007865" y="8450118"/>
          <a:ext cx="100537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9526</xdr:colOff>
      <xdr:row>18</xdr:row>
      <xdr:rowOff>28285</xdr:rowOff>
    </xdr:from>
    <xdr:ext cx="1010528" cy="1426464"/>
    <xdr:pic>
      <xdr:nvPicPr>
        <xdr:cNvPr id="39" name="Picture 38">
          <a:extLst>
            <a:ext uri="{FF2B5EF4-FFF2-40B4-BE49-F238E27FC236}">
              <a16:creationId xmlns:a16="http://schemas.microsoft.com/office/drawing/2014/main" id="{C136B282-5AB4-4C13-A252-4DCBFEC27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25961" t="52511" r="51195" b="974"/>
        <a:stretch/>
      </xdr:blipFill>
      <xdr:spPr>
        <a:xfrm>
          <a:off x="6007101" y="22186610"/>
          <a:ext cx="1010528" cy="1426464"/>
        </a:xfrm>
        <a:prstGeom prst="rect">
          <a:avLst/>
        </a:prstGeom>
      </xdr:spPr>
    </xdr:pic>
    <xdr:clientData/>
  </xdr:oneCellAnchor>
  <xdr:oneCellAnchor>
    <xdr:from>
      <xdr:col>8</xdr:col>
      <xdr:colOff>7795</xdr:colOff>
      <xdr:row>17</xdr:row>
      <xdr:rowOff>31460</xdr:rowOff>
    </xdr:from>
    <xdr:ext cx="1030016" cy="1426464"/>
    <xdr:pic>
      <xdr:nvPicPr>
        <xdr:cNvPr id="40" name="Picture 39">
          <a:extLst>
            <a:ext uri="{FF2B5EF4-FFF2-40B4-BE49-F238E27FC236}">
              <a16:creationId xmlns:a16="http://schemas.microsoft.com/office/drawing/2014/main" id="{58D5618E-C84B-4EC3-B152-1BF2E4B09E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50848" t="52164" r="26292" b="942"/>
        <a:stretch/>
      </xdr:blipFill>
      <xdr:spPr>
        <a:xfrm>
          <a:off x="6005370" y="20475285"/>
          <a:ext cx="1030016" cy="1426464"/>
        </a:xfrm>
        <a:prstGeom prst="rect">
          <a:avLst/>
        </a:prstGeom>
      </xdr:spPr>
    </xdr:pic>
    <xdr:clientData/>
  </xdr:oneCellAnchor>
  <xdr:oneCellAnchor>
    <xdr:from>
      <xdr:col>8</xdr:col>
      <xdr:colOff>20494</xdr:colOff>
      <xdr:row>16</xdr:row>
      <xdr:rowOff>31460</xdr:rowOff>
    </xdr:from>
    <xdr:ext cx="1001219" cy="1426464"/>
    <xdr:pic>
      <xdr:nvPicPr>
        <xdr:cNvPr id="41" name="Picture 40">
          <a:extLst>
            <a:ext uri="{FF2B5EF4-FFF2-40B4-BE49-F238E27FC236}">
              <a16:creationId xmlns:a16="http://schemas.microsoft.com/office/drawing/2014/main" id="{DE72EC27-F170-4CBD-A284-DBB96963ED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76228" t="3685" r="1181" b="50153"/>
        <a:stretch/>
      </xdr:blipFill>
      <xdr:spPr>
        <a:xfrm>
          <a:off x="6014894" y="18760785"/>
          <a:ext cx="1001219" cy="1426464"/>
        </a:xfrm>
        <a:prstGeom prst="rect">
          <a:avLst/>
        </a:prstGeom>
      </xdr:spPr>
    </xdr:pic>
    <xdr:clientData/>
  </xdr:oneCellAnchor>
  <xdr:oneCellAnchor>
    <xdr:from>
      <xdr:col>8</xdr:col>
      <xdr:colOff>2</xdr:colOff>
      <xdr:row>15</xdr:row>
      <xdr:rowOff>31459</xdr:rowOff>
    </xdr:from>
    <xdr:ext cx="1034769" cy="1426464"/>
    <xdr:pic>
      <xdr:nvPicPr>
        <xdr:cNvPr id="42" name="Picture 41">
          <a:extLst>
            <a:ext uri="{FF2B5EF4-FFF2-40B4-BE49-F238E27FC236}">
              <a16:creationId xmlns:a16="http://schemas.microsoft.com/office/drawing/2014/main" id="{2EBB38C3-DA28-4079-B79E-51E0A57735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51210" t="3718" r="25722" b="49944"/>
        <a:stretch/>
      </xdr:blipFill>
      <xdr:spPr>
        <a:xfrm>
          <a:off x="5994402" y="17046284"/>
          <a:ext cx="1034769" cy="1426464"/>
        </a:xfrm>
        <a:prstGeom prst="rect">
          <a:avLst/>
        </a:prstGeom>
      </xdr:spPr>
    </xdr:pic>
    <xdr:clientData/>
  </xdr:oneCellAnchor>
  <xdr:oneCellAnchor>
    <xdr:from>
      <xdr:col>8</xdr:col>
      <xdr:colOff>10968</xdr:colOff>
      <xdr:row>14</xdr:row>
      <xdr:rowOff>31460</xdr:rowOff>
    </xdr:from>
    <xdr:ext cx="1024128" cy="1426464"/>
    <xdr:pic>
      <xdr:nvPicPr>
        <xdr:cNvPr id="43" name="Picture 42">
          <a:extLst>
            <a:ext uri="{FF2B5EF4-FFF2-40B4-BE49-F238E27FC236}">
              <a16:creationId xmlns:a16="http://schemas.microsoft.com/office/drawing/2014/main" id="{A833C05D-72FF-433C-8A7B-FBFE2834DF22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34"/>
        <a:srcRect l="1772" t="3481" r="75488" b="49449"/>
        <a:stretch/>
      </xdr:blipFill>
      <xdr:spPr>
        <a:xfrm>
          <a:off x="6008543" y="15331785"/>
          <a:ext cx="1024128" cy="1426464"/>
        </a:xfrm>
        <a:prstGeom prst="rect">
          <a:avLst/>
        </a:prstGeom>
      </xdr:spPr>
    </xdr:pic>
    <xdr:clientData/>
  </xdr:oneCellAnchor>
  <xdr:oneCellAnchor>
    <xdr:from>
      <xdr:col>8</xdr:col>
      <xdr:colOff>7793</xdr:colOff>
      <xdr:row>13</xdr:row>
      <xdr:rowOff>9525</xdr:rowOff>
    </xdr:from>
    <xdr:ext cx="1036525" cy="1426464"/>
    <xdr:pic>
      <xdr:nvPicPr>
        <xdr:cNvPr id="44" name="Picture 43">
          <a:extLst>
            <a:ext uri="{FF2B5EF4-FFF2-40B4-BE49-F238E27FC236}">
              <a16:creationId xmlns:a16="http://schemas.microsoft.com/office/drawing/2014/main" id="{D0C2F2BD-5644-429A-8D93-CC4AD385FC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1229" t="52341" r="75971" b="1615"/>
        <a:stretch/>
      </xdr:blipFill>
      <xdr:spPr>
        <a:xfrm>
          <a:off x="6005368" y="13595350"/>
          <a:ext cx="1036525" cy="1426464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14</xdr:row>
      <xdr:rowOff>0</xdr:rowOff>
    </xdr:from>
    <xdr:ext cx="1011326" cy="1426464"/>
    <xdr:pic>
      <xdr:nvPicPr>
        <xdr:cNvPr id="45" name="Picture 44">
          <a:extLst>
            <a:ext uri="{FF2B5EF4-FFF2-40B4-BE49-F238E27FC236}">
              <a16:creationId xmlns:a16="http://schemas.microsoft.com/office/drawing/2014/main" id="{BF4BD2C1-E624-4188-9B05-996655FBD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30" t="62082" r="48636" b="5700"/>
        <a:stretch/>
      </xdr:blipFill>
      <xdr:spPr bwMode="auto">
        <a:xfrm>
          <a:off x="19704050" y="15297150"/>
          <a:ext cx="1011326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30</xdr:col>
      <xdr:colOff>0</xdr:colOff>
      <xdr:row>15</xdr:row>
      <xdr:rowOff>0</xdr:rowOff>
    </xdr:from>
    <xdr:ext cx="1008555" cy="1426464"/>
    <xdr:pic>
      <xdr:nvPicPr>
        <xdr:cNvPr id="46" name="Picture 45">
          <a:extLst>
            <a:ext uri="{FF2B5EF4-FFF2-40B4-BE49-F238E27FC236}">
              <a16:creationId xmlns:a16="http://schemas.microsoft.com/office/drawing/2014/main" id="{7F26A43E-DBDD-48A7-89F7-8C6DDEDB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612" t="62578" r="17336" b="5700"/>
        <a:stretch/>
      </xdr:blipFill>
      <xdr:spPr bwMode="auto">
        <a:xfrm>
          <a:off x="19704050" y="17011650"/>
          <a:ext cx="1008555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8</xdr:col>
      <xdr:colOff>2</xdr:colOff>
      <xdr:row>6</xdr:row>
      <xdr:rowOff>0</xdr:rowOff>
    </xdr:from>
    <xdr:to>
      <xdr:col>8</xdr:col>
      <xdr:colOff>1028641</xdr:colOff>
      <xdr:row>6</xdr:row>
      <xdr:rowOff>1426464</xdr:rowOff>
    </xdr:to>
    <xdr:pic>
      <xdr:nvPicPr>
        <xdr:cNvPr id="49" name="Picture 48" descr="A collection of basketball cards&#10;&#10;Description automatically generated">
          <a:extLst>
            <a:ext uri="{FF2B5EF4-FFF2-40B4-BE49-F238E27FC236}">
              <a16:creationId xmlns:a16="http://schemas.microsoft.com/office/drawing/2014/main" id="{61F9773D-3A74-436D-A03E-17E1348909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09" t="68928" r="2243"/>
        <a:stretch/>
      </xdr:blipFill>
      <xdr:spPr bwMode="auto">
        <a:xfrm>
          <a:off x="5994402" y="1581150"/>
          <a:ext cx="1028639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85</xdr:col>
      <xdr:colOff>0</xdr:colOff>
      <xdr:row>8</xdr:row>
      <xdr:rowOff>0</xdr:rowOff>
    </xdr:from>
    <xdr:to>
      <xdr:col>85</xdr:col>
      <xdr:colOff>1025614</xdr:colOff>
      <xdr:row>8</xdr:row>
      <xdr:rowOff>1426464</xdr:rowOff>
    </xdr:to>
    <xdr:pic>
      <xdr:nvPicPr>
        <xdr:cNvPr id="51" name="Picture 50" descr="A collection of cards with a picture of a person&#10;&#10;Description automatically generated">
          <a:extLst>
            <a:ext uri="{FF2B5EF4-FFF2-40B4-BE49-F238E27FC236}">
              <a16:creationId xmlns:a16="http://schemas.microsoft.com/office/drawing/2014/main" id="{0258D5AE-AB61-49BD-BC34-E820803613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91" t="3483" r="34295" b="66041"/>
        <a:stretch/>
      </xdr:blipFill>
      <xdr:spPr bwMode="auto">
        <a:xfrm>
          <a:off x="53232050" y="5010150"/>
          <a:ext cx="1019264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85</xdr:col>
      <xdr:colOff>0</xdr:colOff>
      <xdr:row>9</xdr:row>
      <xdr:rowOff>0</xdr:rowOff>
    </xdr:from>
    <xdr:to>
      <xdr:col>85</xdr:col>
      <xdr:colOff>1026852</xdr:colOff>
      <xdr:row>9</xdr:row>
      <xdr:rowOff>1426464</xdr:rowOff>
    </xdr:to>
    <xdr:pic>
      <xdr:nvPicPr>
        <xdr:cNvPr id="52" name="Picture 51" descr="A collection of cards with a picture of a person&#10;&#10;Description automatically generated">
          <a:extLst>
            <a:ext uri="{FF2B5EF4-FFF2-40B4-BE49-F238E27FC236}">
              <a16:creationId xmlns:a16="http://schemas.microsoft.com/office/drawing/2014/main" id="{5D988EBB-6985-4A1A-91C0-904E2AE0F2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9" t="3483" r="67278" b="66041"/>
        <a:stretch/>
      </xdr:blipFill>
      <xdr:spPr bwMode="auto">
        <a:xfrm>
          <a:off x="53232050" y="6724650"/>
          <a:ext cx="1026852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41</xdr:col>
      <xdr:colOff>0</xdr:colOff>
      <xdr:row>9</xdr:row>
      <xdr:rowOff>0</xdr:rowOff>
    </xdr:from>
    <xdr:to>
      <xdr:col>41</xdr:col>
      <xdr:colOff>1045694</xdr:colOff>
      <xdr:row>9</xdr:row>
      <xdr:rowOff>1426464</xdr:rowOff>
    </xdr:to>
    <xdr:pic>
      <xdr:nvPicPr>
        <xdr:cNvPr id="53" name="Picture 52" descr="A collection of cards with a picture of a person&#10;&#10;Description automatically generated">
          <a:extLst>
            <a:ext uri="{FF2B5EF4-FFF2-40B4-BE49-F238E27FC236}">
              <a16:creationId xmlns:a16="http://schemas.microsoft.com/office/drawing/2014/main" id="{BB645E54-49DE-45BC-93DC-1EF6BCDEBE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8" t="37248" r="67143" b="32202"/>
        <a:stretch/>
      </xdr:blipFill>
      <xdr:spPr bwMode="auto">
        <a:xfrm>
          <a:off x="26409650" y="6724650"/>
          <a:ext cx="1039344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41</xdr:col>
      <xdr:colOff>1</xdr:colOff>
      <xdr:row>8</xdr:row>
      <xdr:rowOff>0</xdr:rowOff>
    </xdr:from>
    <xdr:to>
      <xdr:col>41</xdr:col>
      <xdr:colOff>1026958</xdr:colOff>
      <xdr:row>8</xdr:row>
      <xdr:rowOff>1426464</xdr:rowOff>
    </xdr:to>
    <xdr:pic>
      <xdr:nvPicPr>
        <xdr:cNvPr id="54" name="Picture 53" descr="A collection of cards with a picture of a person&#10;&#10;Description automatically generated">
          <a:extLst>
            <a:ext uri="{FF2B5EF4-FFF2-40B4-BE49-F238E27FC236}">
              <a16:creationId xmlns:a16="http://schemas.microsoft.com/office/drawing/2014/main" id="{C223F8BF-A18C-43AF-9647-27B35E9AED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59" t="37248" r="34286" b="32202"/>
        <a:stretch/>
      </xdr:blipFill>
      <xdr:spPr bwMode="auto">
        <a:xfrm>
          <a:off x="26409651" y="5010150"/>
          <a:ext cx="1020607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1024128</xdr:colOff>
      <xdr:row>7</xdr:row>
      <xdr:rowOff>1446604</xdr:rowOff>
    </xdr:to>
    <xdr:pic>
      <xdr:nvPicPr>
        <xdr:cNvPr id="55" name="Picture 54" descr="A collection of cards with a picture of a person&#10;&#10;Description automatically generated">
          <a:extLst>
            <a:ext uri="{FF2B5EF4-FFF2-40B4-BE49-F238E27FC236}">
              <a16:creationId xmlns:a16="http://schemas.microsoft.com/office/drawing/2014/main" id="{E4A02396-D6AF-4015-9C77-F900ADC445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877" t="37248" r="1878" b="32202"/>
        <a:stretch/>
      </xdr:blipFill>
      <xdr:spPr bwMode="auto">
        <a:xfrm>
          <a:off x="5994400" y="3295650"/>
          <a:ext cx="1020953" cy="144660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96</xdr:col>
      <xdr:colOff>0</xdr:colOff>
      <xdr:row>9</xdr:row>
      <xdr:rowOff>0</xdr:rowOff>
    </xdr:from>
    <xdr:to>
      <xdr:col>96</xdr:col>
      <xdr:colOff>1045942</xdr:colOff>
      <xdr:row>9</xdr:row>
      <xdr:rowOff>1426464</xdr:rowOff>
    </xdr:to>
    <xdr:pic>
      <xdr:nvPicPr>
        <xdr:cNvPr id="56" name="Picture 55" descr="A collage of basketball players&#10;&#10;Description automatically generated">
          <a:extLst>
            <a:ext uri="{FF2B5EF4-FFF2-40B4-BE49-F238E27FC236}">
              <a16:creationId xmlns:a16="http://schemas.microsoft.com/office/drawing/2014/main" id="{48D5E619-6D9B-422E-8B60-DD2BC1BD03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8" t="68796" r="34956" b="967"/>
        <a:stretch/>
      </xdr:blipFill>
      <xdr:spPr bwMode="auto">
        <a:xfrm>
          <a:off x="59937650" y="6724650"/>
          <a:ext cx="1039592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96</xdr:col>
      <xdr:colOff>0</xdr:colOff>
      <xdr:row>8</xdr:row>
      <xdr:rowOff>0</xdr:rowOff>
    </xdr:from>
    <xdr:to>
      <xdr:col>96</xdr:col>
      <xdr:colOff>1026354</xdr:colOff>
      <xdr:row>8</xdr:row>
      <xdr:rowOff>1426464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42F7F7A-9F20-42BB-90D2-6A97957EC9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63" t="68796" r="2271" b="967"/>
        <a:stretch/>
      </xdr:blipFill>
      <xdr:spPr bwMode="auto">
        <a:xfrm>
          <a:off x="59937650" y="5010150"/>
          <a:ext cx="1026354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-1</xdr:colOff>
      <xdr:row>12</xdr:row>
      <xdr:rowOff>0</xdr:rowOff>
    </xdr:from>
    <xdr:to>
      <xdr:col>8</xdr:col>
      <xdr:colOff>1033271</xdr:colOff>
      <xdr:row>12</xdr:row>
      <xdr:rowOff>1426464</xdr:rowOff>
    </xdr:to>
    <xdr:pic>
      <xdr:nvPicPr>
        <xdr:cNvPr id="58" name="Picture 57" descr="A collection of basketball cards&#10;&#10;AI-generated content may be incorrect.">
          <a:extLst>
            <a:ext uri="{FF2B5EF4-FFF2-40B4-BE49-F238E27FC236}">
              <a16:creationId xmlns:a16="http://schemas.microsoft.com/office/drawing/2014/main" id="{097B02B4-B635-4564-86CC-F48FA18B9F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77" r="34991" b="69241"/>
        <a:stretch/>
      </xdr:blipFill>
      <xdr:spPr bwMode="auto">
        <a:xfrm>
          <a:off x="5994399" y="11868150"/>
          <a:ext cx="1033272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1033272</xdr:colOff>
      <xdr:row>11</xdr:row>
      <xdr:rowOff>1426464</xdr:rowOff>
    </xdr:to>
    <xdr:pic>
      <xdr:nvPicPr>
        <xdr:cNvPr id="59" name="Picture 58" descr="A collection of basketball cards&#10;&#10;AI-generated content may be incorrect.">
          <a:extLst>
            <a:ext uri="{FF2B5EF4-FFF2-40B4-BE49-F238E27FC236}">
              <a16:creationId xmlns:a16="http://schemas.microsoft.com/office/drawing/2014/main" id="{5D1553FC-B98B-4159-9292-4D09732201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872" r="1499" b="69241"/>
        <a:stretch/>
      </xdr:blipFill>
      <xdr:spPr bwMode="auto">
        <a:xfrm>
          <a:off x="5994400" y="10153650"/>
          <a:ext cx="1033272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118</xdr:col>
      <xdr:colOff>0</xdr:colOff>
      <xdr:row>8</xdr:row>
      <xdr:rowOff>0</xdr:rowOff>
    </xdr:from>
    <xdr:to>
      <xdr:col>118</xdr:col>
      <xdr:colOff>1028590</xdr:colOff>
      <xdr:row>8</xdr:row>
      <xdr:rowOff>1426464</xdr:rowOff>
    </xdr:to>
    <xdr:pic>
      <xdr:nvPicPr>
        <xdr:cNvPr id="60" name="Picture 59" descr="A collection of basketball cards&#10;&#10;AI-generated content may be incorrect.">
          <a:extLst>
            <a:ext uri="{FF2B5EF4-FFF2-40B4-BE49-F238E27FC236}">
              <a16:creationId xmlns:a16="http://schemas.microsoft.com/office/drawing/2014/main" id="{E7E40B12-B177-41D7-921F-872304AE32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90" b="69241"/>
        <a:stretch/>
      </xdr:blipFill>
      <xdr:spPr bwMode="auto">
        <a:xfrm>
          <a:off x="73348850" y="5010150"/>
          <a:ext cx="1028590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1351-9D22-4B3E-8957-E3379FC9DF0A}">
  <sheetPr>
    <tabColor theme="0"/>
  </sheetPr>
  <dimension ref="A1:VC24"/>
  <sheetViews>
    <sheetView tabSelected="1" zoomScale="40" zoomScaleNormal="40" workbookViewId="0">
      <selection activeCell="H9" sqref="H9"/>
    </sheetView>
  </sheetViews>
  <sheetFormatPr baseColWidth="10" defaultColWidth="8.83203125" defaultRowHeight="26"/>
  <cols>
    <col min="1" max="1" width="13.83203125" style="18" customWidth="1"/>
    <col min="2" max="2" width="7.5" style="18" customWidth="1"/>
    <col min="3" max="3" width="5.5" style="18" customWidth="1"/>
    <col min="4" max="5" width="7.5" style="18" customWidth="1"/>
    <col min="6" max="6" width="15.5" style="39" customWidth="1"/>
    <col min="7" max="8" width="16.33203125" style="39" customWidth="1"/>
    <col min="9" max="9" width="22.5" style="18" customWidth="1"/>
    <col min="10" max="10" width="8.83203125" style="40"/>
    <col min="11" max="11" width="3.5" style="1" customWidth="1"/>
    <col min="12" max="12" width="11.5" style="18" customWidth="1"/>
    <col min="13" max="14" width="5.5" style="18" customWidth="1"/>
    <col min="15" max="16" width="7.5" style="18" customWidth="1"/>
    <col min="17" max="20" width="12.5" style="39" customWidth="1"/>
    <col min="21" max="21" width="17.5" style="18" customWidth="1"/>
    <col min="22" max="22" width="9.1640625" style="40" customWidth="1"/>
    <col min="23" max="23" width="3.5" style="1" customWidth="1"/>
    <col min="24" max="24" width="11.5" style="18" customWidth="1"/>
    <col min="25" max="26" width="5.5" style="18" customWidth="1"/>
    <col min="27" max="28" width="7.5" style="18" customWidth="1"/>
    <col min="29" max="32" width="12.5" style="39" customWidth="1"/>
    <col min="33" max="33" width="17.5" style="18" customWidth="1"/>
    <col min="34" max="34" width="9.1640625" style="40" customWidth="1"/>
    <col min="35" max="35" width="3.5" style="1" customWidth="1"/>
    <col min="36" max="36" width="11.5" style="18" customWidth="1"/>
    <col min="37" max="38" width="5.5" style="18" customWidth="1"/>
    <col min="39" max="40" width="7.5" style="18" customWidth="1"/>
    <col min="41" max="44" width="12.5" style="39" customWidth="1"/>
    <col min="45" max="45" width="17.5" style="18" customWidth="1"/>
    <col min="46" max="46" width="9.1640625" style="40" customWidth="1"/>
    <col min="47" max="47" width="3.5" style="1" customWidth="1"/>
    <col min="48" max="48" width="11.5" style="18" customWidth="1"/>
    <col min="49" max="50" width="5.5" style="18" customWidth="1"/>
    <col min="51" max="52" width="7.5" style="18" customWidth="1"/>
    <col min="53" max="56" width="12.5" style="39" customWidth="1"/>
    <col min="57" max="57" width="17.5" style="18" customWidth="1"/>
    <col min="58" max="58" width="9.1640625" style="40" customWidth="1"/>
    <col min="59" max="59" width="3.5" style="1" customWidth="1"/>
    <col min="60" max="60" width="11.5" style="18" customWidth="1"/>
    <col min="61" max="62" width="5.5" style="18" customWidth="1"/>
    <col min="63" max="64" width="7.5" style="18" customWidth="1"/>
    <col min="65" max="68" width="12.5" style="39" customWidth="1"/>
    <col min="69" max="69" width="17.5" style="18" customWidth="1"/>
    <col min="70" max="70" width="9.1640625" style="40" customWidth="1"/>
    <col min="71" max="71" width="3.5" style="1" customWidth="1"/>
    <col min="72" max="72" width="11.5" style="18" customWidth="1"/>
    <col min="73" max="74" width="5.5" style="18" customWidth="1"/>
    <col min="75" max="76" width="7.5" style="18" customWidth="1"/>
    <col min="77" max="80" width="12.5" style="39" customWidth="1"/>
    <col min="81" max="81" width="17.5" style="18" customWidth="1"/>
    <col min="82" max="82" width="9.1640625" style="40" customWidth="1"/>
    <col min="83" max="83" width="3.5" style="1" customWidth="1"/>
    <col min="84" max="84" width="11.5" style="18" customWidth="1"/>
    <col min="85" max="86" width="5.5" style="18" customWidth="1"/>
    <col min="87" max="88" width="7.5" style="18" customWidth="1"/>
    <col min="89" max="89" width="12.5" style="39" customWidth="1"/>
    <col min="90" max="92" width="12.5" style="47" customWidth="1"/>
    <col min="93" max="93" width="17.5" style="18" customWidth="1"/>
    <col min="94" max="94" width="9.1640625" style="40" customWidth="1"/>
    <col min="95" max="95" width="3.5" style="1" customWidth="1"/>
    <col min="96" max="96" width="11.5" style="18" customWidth="1"/>
    <col min="97" max="98" width="5.5" style="18" customWidth="1"/>
    <col min="99" max="100" width="7.5" style="18" customWidth="1"/>
    <col min="101" max="101" width="12.5" style="39" customWidth="1"/>
    <col min="102" max="104" width="12.5" style="47" customWidth="1"/>
    <col min="105" max="105" width="17.5" style="18" customWidth="1"/>
    <col min="106" max="106" width="9.1640625" style="40" customWidth="1"/>
    <col min="107" max="107" width="3.5" style="1" customWidth="1"/>
    <col min="108" max="108" width="11.5" style="18" customWidth="1"/>
    <col min="109" max="110" width="5.5" style="18" customWidth="1"/>
    <col min="111" max="112" width="7.5" style="18" customWidth="1"/>
    <col min="113" max="113" width="12.5" style="39" customWidth="1"/>
    <col min="114" max="116" width="12.5" style="47" customWidth="1"/>
    <col min="117" max="117" width="17.5" style="18" customWidth="1"/>
    <col min="118" max="118" width="9.1640625" style="40" customWidth="1"/>
    <col min="119" max="119" width="3.5" style="1" customWidth="1"/>
    <col min="120" max="120" width="11.5" style="18" customWidth="1"/>
    <col min="121" max="122" width="5.5" style="18" customWidth="1"/>
    <col min="123" max="124" width="7.5" style="18" customWidth="1"/>
    <col min="125" max="125" width="12.5" style="39" customWidth="1"/>
    <col min="126" max="127" width="12.5" style="47" customWidth="1"/>
    <col min="128" max="128" width="12.5" style="48" customWidth="1"/>
    <col min="129" max="129" width="17.5" style="18" customWidth="1"/>
    <col min="130" max="130" width="9.1640625" style="40" customWidth="1"/>
    <col min="131" max="131" width="3.5" style="1" customWidth="1"/>
    <col min="132" max="132" width="11.5" style="18" customWidth="1"/>
    <col min="133" max="134" width="5.5" style="18" customWidth="1"/>
    <col min="135" max="136" width="7.5" style="18" customWidth="1"/>
    <col min="137" max="137" width="12.5" style="39" customWidth="1"/>
    <col min="138" max="140" width="12.5" style="47" customWidth="1"/>
    <col min="141" max="141" width="17.5" style="18" customWidth="1"/>
    <col min="142" max="142" width="9.1640625" style="18" customWidth="1"/>
    <col min="143" max="143" width="3.5" style="1" customWidth="1"/>
    <col min="144" max="144" width="11.5" style="18" customWidth="1"/>
    <col min="145" max="146" width="5.5" style="18" customWidth="1"/>
    <col min="147" max="148" width="7.5" style="18" customWidth="1"/>
    <col min="149" max="149" width="12.5" style="39" customWidth="1"/>
    <col min="150" max="152" width="12.5" style="47" customWidth="1"/>
    <col min="153" max="153" width="17.5" style="18" customWidth="1"/>
    <col min="154" max="154" width="9.1640625" style="18" customWidth="1"/>
    <col min="155" max="155" width="3.5" style="1" customWidth="1"/>
    <col min="156" max="156" width="11.5" style="18" customWidth="1"/>
    <col min="157" max="158" width="5.5" style="18" customWidth="1"/>
    <col min="159" max="160" width="7.5" style="18" customWidth="1"/>
    <col min="161" max="161" width="12.5" style="39" customWidth="1"/>
    <col min="162" max="164" width="12.5" style="47" customWidth="1"/>
    <col min="165" max="165" width="17.5" style="18" customWidth="1"/>
    <col min="166" max="166" width="9.1640625" style="18" customWidth="1"/>
    <col min="167" max="167" width="3.5" style="1" customWidth="1"/>
    <col min="168" max="168" width="11.5" style="18" customWidth="1"/>
    <col min="169" max="170" width="5.5" style="18" customWidth="1"/>
    <col min="171" max="172" width="7.5" style="18" customWidth="1"/>
    <col min="173" max="173" width="12.5" style="39" customWidth="1"/>
    <col min="174" max="176" width="12.5" style="47" customWidth="1"/>
    <col min="177" max="177" width="17.5" style="18" customWidth="1"/>
    <col min="178" max="178" width="9.1640625" style="18" customWidth="1"/>
    <col min="179" max="179" width="3.5" style="1" customWidth="1"/>
    <col min="180" max="180" width="11.5" style="18" customWidth="1"/>
    <col min="181" max="182" width="5.5" style="18" customWidth="1"/>
    <col min="183" max="184" width="7.5" style="18" customWidth="1"/>
    <col min="185" max="185" width="12.5" style="39" customWidth="1"/>
    <col min="186" max="188" width="12.5" style="47" customWidth="1"/>
    <col min="189" max="189" width="17.5" style="18" customWidth="1"/>
    <col min="190" max="190" width="9.1640625" style="18" customWidth="1"/>
    <col min="191" max="191" width="3.5" style="1" customWidth="1"/>
    <col min="192" max="192" width="11.5" style="18" customWidth="1"/>
    <col min="193" max="194" width="5.5" style="18" customWidth="1"/>
    <col min="195" max="196" width="7.5" style="18" customWidth="1"/>
    <col min="197" max="197" width="12.5" style="39" customWidth="1"/>
    <col min="198" max="200" width="12.5" style="47" customWidth="1"/>
    <col min="201" max="201" width="17.5" style="18" customWidth="1"/>
    <col min="202" max="202" width="9.1640625" style="18" customWidth="1"/>
    <col min="203" max="203" width="3.5" style="1" customWidth="1"/>
    <col min="204" max="204" width="11.5" style="18" customWidth="1"/>
    <col min="205" max="206" width="5.5" style="18" customWidth="1"/>
    <col min="207" max="208" width="7.5" style="18" customWidth="1"/>
    <col min="209" max="209" width="12.5" style="39" customWidth="1"/>
    <col min="210" max="212" width="12.5" style="47" customWidth="1"/>
    <col min="213" max="213" width="17.5" style="18" customWidth="1"/>
    <col min="214" max="214" width="9.1640625" style="18" customWidth="1"/>
    <col min="215" max="215" width="3.5" style="1" customWidth="1"/>
    <col min="216" max="216" width="11.5" style="18" customWidth="1"/>
    <col min="217" max="218" width="5.5" style="18" customWidth="1"/>
    <col min="219" max="220" width="7.5" style="18" customWidth="1"/>
    <col min="221" max="221" width="12.5" style="39" customWidth="1"/>
    <col min="222" max="224" width="12.5" style="47" customWidth="1"/>
    <col min="225" max="225" width="17.5" style="18" customWidth="1"/>
    <col min="226" max="226" width="9.1640625" style="18" customWidth="1"/>
    <col min="227" max="227" width="3.5" style="1" customWidth="1"/>
    <col min="228" max="228" width="11.5" style="18" customWidth="1"/>
    <col min="229" max="230" width="5.5" style="18" customWidth="1"/>
    <col min="231" max="232" width="7.5" style="18" customWidth="1"/>
    <col min="233" max="233" width="12.5" style="39" customWidth="1"/>
    <col min="234" max="236" width="12.5" style="47" customWidth="1"/>
    <col min="237" max="237" width="17.5" style="18" customWidth="1"/>
    <col min="238" max="238" width="9.1640625" style="18" customWidth="1"/>
    <col min="239" max="239" width="3.5" style="1" customWidth="1"/>
    <col min="240" max="240" width="11.5" style="18" customWidth="1"/>
    <col min="241" max="242" width="5.5" style="18" customWidth="1"/>
    <col min="243" max="244" width="7.5" style="18" customWidth="1"/>
    <col min="245" max="245" width="12.5" style="39" customWidth="1"/>
    <col min="246" max="246" width="12.5" style="47" customWidth="1"/>
    <col min="247" max="247" width="14.5" style="47" customWidth="1"/>
    <col min="248" max="248" width="12.5" style="48" customWidth="1"/>
    <col min="249" max="249" width="17.5" style="18" customWidth="1"/>
    <col min="250" max="250" width="9.1640625" style="18" customWidth="1"/>
    <col min="251" max="251" width="3.5" style="1" customWidth="1"/>
    <col min="252" max="252" width="11.5" style="18" customWidth="1"/>
    <col min="253" max="254" width="5.5" style="18" customWidth="1"/>
    <col min="255" max="256" width="7.5" style="18" customWidth="1"/>
    <col min="257" max="257" width="12.5" style="39" customWidth="1"/>
    <col min="258" max="259" width="12.5" style="47" customWidth="1"/>
    <col min="260" max="260" width="12.5" style="48" customWidth="1"/>
    <col min="261" max="261" width="17.5" style="18" customWidth="1"/>
    <col min="262" max="262" width="9.1640625" style="18" customWidth="1"/>
    <col min="263" max="263" width="3.5" style="1" customWidth="1"/>
    <col min="264" max="264" width="11.5" style="18" customWidth="1"/>
    <col min="265" max="266" width="5.5" style="18" customWidth="1"/>
    <col min="267" max="268" width="7.5" style="18" customWidth="1"/>
    <col min="269" max="269" width="12.5" style="39" customWidth="1"/>
    <col min="270" max="271" width="12.5" style="47" customWidth="1"/>
    <col min="272" max="272" width="12.5" style="48" customWidth="1"/>
    <col min="273" max="273" width="17.5" style="18" customWidth="1"/>
    <col min="274" max="274" width="9.1640625" style="40" customWidth="1"/>
    <col min="275" max="275" width="3.5" style="1" customWidth="1"/>
    <col min="276" max="276" width="11.5" style="18" customWidth="1"/>
    <col min="277" max="278" width="5.5" style="18" customWidth="1"/>
    <col min="279" max="280" width="7.5" style="18" customWidth="1"/>
    <col min="281" max="281" width="12.5" style="39" customWidth="1"/>
    <col min="282" max="284" width="12.5" style="47" customWidth="1"/>
    <col min="285" max="285" width="17.5" style="18" customWidth="1"/>
    <col min="286" max="286" width="9.1640625" style="40" customWidth="1"/>
    <col min="287" max="287" width="3.5" style="1" customWidth="1"/>
    <col min="288" max="288" width="11.5" style="18" customWidth="1"/>
    <col min="289" max="290" width="5.5" style="18" customWidth="1"/>
    <col min="291" max="292" width="7.5" style="18" customWidth="1"/>
    <col min="293" max="293" width="12.5" style="39" customWidth="1"/>
    <col min="294" max="294" width="12.5" style="47" customWidth="1"/>
    <col min="295" max="295" width="13.83203125" style="47" customWidth="1"/>
    <col min="296" max="296" width="12.5" style="48" customWidth="1"/>
    <col min="297" max="297" width="17.5" style="18" customWidth="1"/>
    <col min="298" max="298" width="9.1640625" style="40" customWidth="1"/>
    <col min="299" max="299" width="3.5" style="1" customWidth="1"/>
    <col min="300" max="300" width="11.5" style="18" customWidth="1"/>
    <col min="301" max="302" width="5.5" style="18" customWidth="1"/>
    <col min="303" max="304" width="7.5" style="18" customWidth="1"/>
    <col min="305" max="305" width="12.5" style="39" customWidth="1"/>
    <col min="306" max="308" width="12.5" style="47" customWidth="1"/>
    <col min="309" max="309" width="17.5" style="18" customWidth="1"/>
    <col min="310" max="310" width="9.1640625" style="18" customWidth="1"/>
    <col min="311" max="311" width="3.5" style="1" customWidth="1"/>
    <col min="312" max="312" width="11.5" style="18" customWidth="1"/>
    <col min="313" max="314" width="5.5" style="18" customWidth="1"/>
    <col min="315" max="316" width="7.5" style="18" customWidth="1"/>
    <col min="317" max="317" width="16" style="39" bestFit="1" customWidth="1"/>
    <col min="318" max="318" width="13.5" style="47" customWidth="1"/>
    <col min="319" max="319" width="15.5" style="47" customWidth="1"/>
    <col min="320" max="320" width="12.5" style="48" customWidth="1"/>
    <col min="321" max="321" width="17.5" style="18" customWidth="1"/>
    <col min="322" max="322" width="9.1640625" style="40" customWidth="1"/>
    <col min="323" max="323" width="3.5" style="1" customWidth="1"/>
    <col min="324" max="324" width="11.5" style="18" customWidth="1"/>
    <col min="325" max="326" width="5.5" style="18" customWidth="1"/>
    <col min="327" max="328" width="7.5" style="18" customWidth="1"/>
    <col min="329" max="329" width="15.1640625" style="39" customWidth="1"/>
    <col min="330" max="330" width="12.5" style="47" customWidth="1"/>
    <col min="331" max="331" width="14.1640625" style="47" customWidth="1"/>
    <col min="332" max="332" width="12.5" style="48" customWidth="1"/>
    <col min="333" max="333" width="17.5" style="18" customWidth="1"/>
    <col min="334" max="334" width="9.1640625" style="18" customWidth="1"/>
    <col min="335" max="335" width="3.5" style="1" customWidth="1"/>
    <col min="336" max="336" width="11.5" style="3" customWidth="1"/>
    <col min="337" max="338" width="5.5" style="3" customWidth="1"/>
    <col min="339" max="340" width="7.5" style="3" customWidth="1"/>
    <col min="341" max="344" width="12.5" style="3" customWidth="1"/>
    <col min="345" max="345" width="17.5" style="3" customWidth="1"/>
    <col min="346" max="346" width="9.1640625" style="3" customWidth="1"/>
    <col min="347" max="347" width="3.5" style="3" customWidth="1"/>
    <col min="348" max="348" width="11.5" style="3" customWidth="1"/>
    <col min="349" max="350" width="5.5" style="3" customWidth="1"/>
    <col min="351" max="352" width="7.5" style="3" customWidth="1"/>
    <col min="353" max="356" width="12.5" style="3" customWidth="1"/>
    <col min="357" max="357" width="17.5" style="3" customWidth="1"/>
    <col min="358" max="358" width="9.1640625" style="3" customWidth="1"/>
    <col min="359" max="359" width="3.5" style="3" customWidth="1"/>
    <col min="360" max="360" width="11.5" style="3" customWidth="1"/>
    <col min="361" max="362" width="5.5" style="3" customWidth="1"/>
    <col min="363" max="364" width="7.5" style="3" customWidth="1"/>
    <col min="365" max="368" width="12.5" style="3" customWidth="1"/>
    <col min="369" max="369" width="17.5" style="3" customWidth="1"/>
    <col min="370" max="370" width="9.1640625" style="3" customWidth="1"/>
    <col min="371" max="371" width="3.5" style="3" customWidth="1"/>
    <col min="372" max="372" width="12.5" style="3" customWidth="1"/>
    <col min="373" max="373" width="17.5" style="3" customWidth="1"/>
    <col min="374" max="374" width="9.1640625" style="3" customWidth="1"/>
    <col min="375" max="375" width="3.5" style="3" customWidth="1"/>
    <col min="376" max="376" width="11.5" style="3" customWidth="1"/>
    <col min="377" max="379" width="5.5" style="3" customWidth="1"/>
    <col min="380" max="380" width="12.5" style="3" customWidth="1"/>
    <col min="381" max="381" width="17.5" style="3" customWidth="1"/>
    <col min="382" max="382" width="9.1640625" style="3" customWidth="1"/>
    <col min="383" max="383" width="3.5" style="3" customWidth="1"/>
    <col min="384" max="384" width="11.5" style="3" customWidth="1"/>
    <col min="385" max="387" width="5.5" style="3" customWidth="1"/>
    <col min="388" max="388" width="12.5" style="3" customWidth="1"/>
    <col min="389" max="389" width="17.5" style="3" customWidth="1"/>
    <col min="390" max="390" width="9.1640625" style="3" customWidth="1"/>
    <col min="391" max="391" width="3.5" style="3" customWidth="1"/>
    <col min="392" max="392" width="13.83203125" style="3" customWidth="1"/>
    <col min="393" max="393" width="7.5" style="3" customWidth="1"/>
    <col min="394" max="394" width="15.5" style="3" customWidth="1"/>
    <col min="395" max="395" width="20.83203125" style="3" customWidth="1"/>
    <col min="396" max="396" width="8.83203125" style="3"/>
    <col min="397" max="397" width="5" style="3" customWidth="1"/>
    <col min="398" max="398" width="13.83203125" style="3" customWidth="1"/>
    <col min="399" max="399" width="7.5" style="3" customWidth="1"/>
    <col min="400" max="400" width="15.5" style="3" customWidth="1"/>
    <col min="401" max="401" width="20.5" style="3" customWidth="1"/>
    <col min="402" max="402" width="8.83203125" style="3"/>
    <col min="403" max="403" width="5" style="3" customWidth="1"/>
    <col min="404" max="404" width="13.83203125" style="3" customWidth="1"/>
    <col min="405" max="405" width="7.5" style="3" customWidth="1"/>
    <col min="406" max="406" width="15.5" style="3" customWidth="1"/>
    <col min="407" max="407" width="22.1640625" style="3" customWidth="1"/>
    <col min="408" max="408" width="8.83203125" style="3"/>
    <col min="409" max="409" width="5" style="3" customWidth="1"/>
    <col min="410" max="410" width="13.83203125" style="3" customWidth="1"/>
    <col min="411" max="411" width="7.5" style="3" customWidth="1"/>
    <col min="412" max="412" width="15.5" style="3" customWidth="1"/>
    <col min="413" max="413" width="20" style="3" customWidth="1"/>
    <col min="414" max="414" width="8.83203125" style="3"/>
    <col min="415" max="415" width="5" style="3" customWidth="1"/>
    <col min="416" max="416" width="13.83203125" style="3" customWidth="1"/>
    <col min="417" max="417" width="7.5" style="3" customWidth="1"/>
    <col min="418" max="418" width="15.5" style="3" customWidth="1"/>
    <col min="419" max="419" width="19.1640625" style="3" customWidth="1"/>
    <col min="420" max="420" width="8.83203125" style="3"/>
    <col min="421" max="421" width="5" style="3" customWidth="1"/>
    <col min="422" max="422" width="13.83203125" style="3" customWidth="1"/>
    <col min="423" max="423" width="7.5" style="3" customWidth="1"/>
    <col min="424" max="424" width="15.5" style="3" customWidth="1"/>
    <col min="425" max="425" width="20.5" style="3" customWidth="1"/>
    <col min="426" max="426" width="8.83203125" style="3"/>
    <col min="427" max="427" width="5" style="3" customWidth="1"/>
    <col min="428" max="428" width="13.83203125" style="3" customWidth="1"/>
    <col min="429" max="429" width="7.5" style="3" customWidth="1"/>
    <col min="430" max="430" width="15.5" style="3" customWidth="1"/>
    <col min="431" max="431" width="20" style="3" customWidth="1"/>
    <col min="432" max="432" width="8.83203125" style="3"/>
    <col min="433" max="433" width="5" style="3" customWidth="1"/>
    <col min="434" max="434" width="13.83203125" style="3" customWidth="1"/>
    <col min="435" max="435" width="7.5" style="3" customWidth="1"/>
    <col min="436" max="436" width="15.5" style="3" customWidth="1"/>
    <col min="437" max="437" width="19.1640625" style="3" customWidth="1"/>
    <col min="438" max="438" width="8.83203125" style="3"/>
    <col min="439" max="439" width="5" style="3" customWidth="1"/>
    <col min="440" max="440" width="13.83203125" style="3" customWidth="1"/>
    <col min="441" max="441" width="7.5" style="3" customWidth="1"/>
    <col min="442" max="442" width="15.5" style="3" customWidth="1"/>
    <col min="443" max="443" width="20" style="3" customWidth="1"/>
    <col min="444" max="444" width="8.83203125" style="3"/>
    <col min="445" max="445" width="5" style="3" customWidth="1"/>
    <col min="446" max="446" width="13.83203125" style="3" customWidth="1"/>
    <col min="447" max="447" width="7.5" style="3" customWidth="1"/>
    <col min="448" max="448" width="15.5" style="3" customWidth="1"/>
    <col min="449" max="449" width="20" style="3" customWidth="1"/>
    <col min="450" max="450" width="8.83203125" style="3"/>
    <col min="451" max="451" width="5" style="3" customWidth="1"/>
    <col min="452" max="452" width="13.83203125" style="3" customWidth="1"/>
    <col min="453" max="453" width="7.5" style="3" customWidth="1"/>
    <col min="454" max="454" width="15.5" style="3" customWidth="1"/>
    <col min="455" max="455" width="20" style="3" customWidth="1"/>
    <col min="456" max="456" width="8.83203125" style="3"/>
    <col min="457" max="457" width="5" style="3" customWidth="1"/>
    <col min="458" max="458" width="13.83203125" style="3" customWidth="1"/>
    <col min="459" max="459" width="7.5" style="3" customWidth="1"/>
    <col min="460" max="460" width="15.5" style="3" customWidth="1"/>
    <col min="461" max="461" width="20.5" style="3" customWidth="1"/>
    <col min="462" max="462" width="8.83203125" style="3"/>
    <col min="463" max="463" width="5" style="3" customWidth="1"/>
    <col min="464" max="575" width="8.83203125" style="3"/>
  </cols>
  <sheetData>
    <row r="1" spans="1:420" ht="24" customHeight="1">
      <c r="A1" s="82" t="s">
        <v>0</v>
      </c>
      <c r="B1" s="83"/>
      <c r="C1" s="86">
        <f>A5+L5+X5+AJ5+AV5+BH5+BT5+CF5+CR5+DD5+DP5+EN5+EZ5+FL5+FX5+GV5+HH5+HT5+IF5+IR5+JD5+JP5+KB5+KN5+KZ5+LL5+EB5+GJ5</f>
        <v>187</v>
      </c>
      <c r="D1" s="87"/>
      <c r="E1" s="87"/>
      <c r="F1" s="88"/>
      <c r="G1" s="89">
        <f>C6+N6+Z6+AL6+AX6+BJ6+BV6+CH6+CT6+DF6+DR6+ED6+FB6+FN6+FZ6+GL6+HJ6+HV6+IH6+IT6+JF6+JR6+KD6+KP6+LB6+LN6+GX6+EP6</f>
        <v>43</v>
      </c>
      <c r="H1" s="89"/>
      <c r="I1" s="78">
        <f>C1-G1</f>
        <v>144</v>
      </c>
      <c r="J1" s="78"/>
      <c r="L1" s="74" t="str">
        <f>IF(L5=M6, "Complete Set", "")</f>
        <v/>
      </c>
      <c r="M1" s="74"/>
      <c r="N1" s="74"/>
      <c r="O1" s="74"/>
      <c r="P1" s="74"/>
      <c r="Q1" s="74"/>
      <c r="R1" s="74"/>
      <c r="S1" s="74"/>
      <c r="T1" s="74"/>
      <c r="U1" s="74"/>
      <c r="V1" s="74"/>
      <c r="W1" s="2"/>
      <c r="X1" s="74" t="str">
        <f>IF(X5=Y6, "Complete Set", "")</f>
        <v/>
      </c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2"/>
      <c r="AJ1" s="74" t="str">
        <f>IF(AJ5=AK6, "Complete Set", "")</f>
        <v/>
      </c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2"/>
      <c r="AV1" s="74" t="str">
        <f>IF(AV5=AW6, "Complete Set", "")</f>
        <v/>
      </c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2"/>
      <c r="BH1" s="74" t="str">
        <f>IF(BH5=BI6, "Complete Set", "")</f>
        <v/>
      </c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2"/>
      <c r="BT1" s="74" t="str">
        <f>IF(BT5=BU6, "Complete Set", "")</f>
        <v/>
      </c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2"/>
      <c r="CF1" s="74" t="str">
        <f>IF(CF5=CG6, "Complete Set", "")</f>
        <v/>
      </c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2"/>
      <c r="CR1" s="74" t="str">
        <f>IF(CR5=CS6, "Complete Set", "")</f>
        <v/>
      </c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2"/>
      <c r="DD1" s="74" t="str">
        <f>IF(DD5=DE6, "Complete Set", "")</f>
        <v/>
      </c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2"/>
      <c r="DP1" s="74" t="str">
        <f>IF(DP5=DQ6, "Complete Set", "")</f>
        <v/>
      </c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2"/>
      <c r="EB1" s="74" t="str">
        <f>IF(EB5=EC6, "Complete Set", "")</f>
        <v/>
      </c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2"/>
      <c r="EN1" s="74" t="str">
        <f>IF(EN5=EO6, "Complete Set", "")</f>
        <v/>
      </c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2"/>
      <c r="EZ1" s="74" t="str">
        <f>IF(EZ5=FA6, "Complete Set", "")</f>
        <v/>
      </c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2"/>
      <c r="FL1" s="74" t="str">
        <f>IF(FL5=FM6, "Complete Set", "")</f>
        <v/>
      </c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2"/>
      <c r="FX1" s="74" t="str">
        <f>IF(FX5=FY6, "Complete Set", "")</f>
        <v/>
      </c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2"/>
      <c r="GJ1" s="74" t="str">
        <f>IF(GJ5=GK6, "Complete Set", "")</f>
        <v/>
      </c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2"/>
      <c r="GV1" s="74" t="str">
        <f>IF(GV5=GW6, "Complete Set", "")</f>
        <v/>
      </c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2"/>
      <c r="HH1" s="74" t="str">
        <f>IF(HH5=HI6, "Complete Set", "")</f>
        <v/>
      </c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2"/>
      <c r="HT1" s="74" t="str">
        <f>IF(HT5=HU6, "Complete Set", "")</f>
        <v/>
      </c>
      <c r="HU1" s="74"/>
      <c r="HV1" s="74"/>
      <c r="HW1" s="74"/>
      <c r="HX1" s="74"/>
      <c r="HY1" s="74"/>
      <c r="HZ1" s="74"/>
      <c r="IA1" s="74"/>
      <c r="IB1" s="74"/>
      <c r="IC1" s="74"/>
      <c r="ID1" s="74"/>
      <c r="IE1" s="2"/>
      <c r="IF1" s="74" t="str">
        <f>IF(IF5=IG6, "Complete Set", "")</f>
        <v/>
      </c>
      <c r="IG1" s="74"/>
      <c r="IH1" s="74"/>
      <c r="II1" s="74"/>
      <c r="IJ1" s="74"/>
      <c r="IK1" s="74"/>
      <c r="IL1" s="74"/>
      <c r="IM1" s="74"/>
      <c r="IN1" s="74"/>
      <c r="IO1" s="74"/>
      <c r="IP1" s="74"/>
      <c r="IQ1" s="2"/>
      <c r="IR1" s="74" t="str">
        <f>IF(IR5=IS6, "Complete Set", "")</f>
        <v/>
      </c>
      <c r="IS1" s="74"/>
      <c r="IT1" s="74"/>
      <c r="IU1" s="74"/>
      <c r="IV1" s="74"/>
      <c r="IW1" s="74"/>
      <c r="IX1" s="74"/>
      <c r="IY1" s="74"/>
      <c r="IZ1" s="74"/>
      <c r="JA1" s="74"/>
      <c r="JB1" s="74"/>
      <c r="JC1" s="2"/>
      <c r="JD1" s="74" t="str">
        <f>IF(JD5=JE6, "Complete Set", "")</f>
        <v/>
      </c>
      <c r="JE1" s="74"/>
      <c r="JF1" s="74"/>
      <c r="JG1" s="74"/>
      <c r="JH1" s="74"/>
      <c r="JI1" s="74"/>
      <c r="JJ1" s="74"/>
      <c r="JK1" s="74"/>
      <c r="JL1" s="74"/>
      <c r="JM1" s="74"/>
      <c r="JN1" s="74"/>
      <c r="JO1" s="2"/>
      <c r="JP1" s="74" t="str">
        <f>IF(JP5=JQ6, "Complete Set", "")</f>
        <v/>
      </c>
      <c r="JQ1" s="74"/>
      <c r="JR1" s="74"/>
      <c r="JS1" s="74"/>
      <c r="JT1" s="74"/>
      <c r="JU1" s="74"/>
      <c r="JV1" s="74"/>
      <c r="JW1" s="74"/>
      <c r="JX1" s="74"/>
      <c r="JY1" s="74"/>
      <c r="JZ1" s="74"/>
      <c r="KA1" s="2"/>
      <c r="KB1" s="74" t="str">
        <f>IF(KB5=KC6, "Complete Set", "")</f>
        <v/>
      </c>
      <c r="KC1" s="74"/>
      <c r="KD1" s="74"/>
      <c r="KE1" s="74"/>
      <c r="KF1" s="74"/>
      <c r="KG1" s="74"/>
      <c r="KH1" s="74"/>
      <c r="KI1" s="74"/>
      <c r="KJ1" s="74"/>
      <c r="KK1" s="74"/>
      <c r="KL1" s="74"/>
      <c r="KM1" s="2"/>
      <c r="KN1" s="74" t="str">
        <f>IF(KN5=KO6, "Complete Set", "")</f>
        <v/>
      </c>
      <c r="KO1" s="74"/>
      <c r="KP1" s="74"/>
      <c r="KQ1" s="74"/>
      <c r="KR1" s="74"/>
      <c r="KS1" s="74"/>
      <c r="KT1" s="74"/>
      <c r="KU1" s="74"/>
      <c r="KV1" s="74"/>
      <c r="KW1" s="74"/>
      <c r="KX1" s="74"/>
      <c r="KY1" s="2"/>
      <c r="KZ1" s="74" t="str">
        <f>IF(KZ5=LA6, "Complete Set", "")</f>
        <v/>
      </c>
      <c r="LA1" s="74"/>
      <c r="LB1" s="74"/>
      <c r="LC1" s="74"/>
      <c r="LD1" s="74"/>
      <c r="LE1" s="74"/>
      <c r="LF1" s="74"/>
      <c r="LG1" s="74"/>
      <c r="LH1" s="74"/>
      <c r="LI1" s="74"/>
      <c r="LJ1" s="74"/>
      <c r="LK1" s="2"/>
      <c r="LL1" s="74" t="str">
        <f>IF(LL5=LM6, "Complete Set", "")</f>
        <v/>
      </c>
      <c r="LM1" s="74"/>
      <c r="LN1" s="74"/>
      <c r="LO1" s="74"/>
      <c r="LP1" s="74"/>
      <c r="LQ1" s="74"/>
      <c r="LR1" s="74"/>
      <c r="LS1" s="74"/>
      <c r="LT1" s="74"/>
      <c r="LU1" s="74"/>
      <c r="LV1" s="74"/>
      <c r="LW1" s="2"/>
    </row>
    <row r="2" spans="1:420" ht="24" customHeight="1">
      <c r="A2" s="84"/>
      <c r="B2" s="85"/>
      <c r="C2" s="75">
        <f>C1-B6-M6-Y6-AK6-AW6-BI6-BU6-CG6-CS6-DE6-DQ6-EO6-FA6-FM6-FY6-GW6-HI6-HU6-IG6-IS6-JE6-JQ6-KC6-KO6-LA6-LM6-EC6-GK6</f>
        <v>187</v>
      </c>
      <c r="D2" s="75"/>
      <c r="E2" s="75"/>
      <c r="F2" s="75"/>
      <c r="G2" s="76">
        <f>G1-(C5+N5+Z5+AL5+AX5+BJ5+BV5+CH5+CT5+DF5+DR5+EP5+FB5+FN5+FZ5+GX5+HJ5+HV5+IH5+IT5+JF5+JR5+KD5+KP5+LB5+LN5+ED5+GL5)</f>
        <v>43</v>
      </c>
      <c r="H2" s="77"/>
      <c r="I2" s="78">
        <f>C2-G2</f>
        <v>144</v>
      </c>
      <c r="J2" s="78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2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2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2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2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2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2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2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2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2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2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2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2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2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2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2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2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2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2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2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2"/>
      <c r="IR2" s="74"/>
      <c r="IS2" s="74"/>
      <c r="IT2" s="74"/>
      <c r="IU2" s="74"/>
      <c r="IV2" s="74"/>
      <c r="IW2" s="74"/>
      <c r="IX2" s="74"/>
      <c r="IY2" s="74"/>
      <c r="IZ2" s="74"/>
      <c r="JA2" s="74"/>
      <c r="JB2" s="74"/>
      <c r="JC2" s="2"/>
      <c r="JD2" s="74"/>
      <c r="JE2" s="74"/>
      <c r="JF2" s="74"/>
      <c r="JG2" s="74"/>
      <c r="JH2" s="74"/>
      <c r="JI2" s="74"/>
      <c r="JJ2" s="74"/>
      <c r="JK2" s="74"/>
      <c r="JL2" s="74"/>
      <c r="JM2" s="74"/>
      <c r="JN2" s="74"/>
      <c r="JO2" s="2"/>
      <c r="JP2" s="74"/>
      <c r="JQ2" s="74"/>
      <c r="JR2" s="74"/>
      <c r="JS2" s="74"/>
      <c r="JT2" s="74"/>
      <c r="JU2" s="74"/>
      <c r="JV2" s="74"/>
      <c r="JW2" s="74"/>
      <c r="JX2" s="74"/>
      <c r="JY2" s="74"/>
      <c r="JZ2" s="74"/>
      <c r="KA2" s="2"/>
      <c r="KB2" s="74"/>
      <c r="KC2" s="74"/>
      <c r="KD2" s="74"/>
      <c r="KE2" s="74"/>
      <c r="KF2" s="74"/>
      <c r="KG2" s="74"/>
      <c r="KH2" s="74"/>
      <c r="KI2" s="74"/>
      <c r="KJ2" s="74"/>
      <c r="KK2" s="74"/>
      <c r="KL2" s="74"/>
      <c r="KM2" s="2"/>
      <c r="KN2" s="74"/>
      <c r="KO2" s="74"/>
      <c r="KP2" s="74"/>
      <c r="KQ2" s="74"/>
      <c r="KR2" s="74"/>
      <c r="KS2" s="74"/>
      <c r="KT2" s="74"/>
      <c r="KU2" s="74"/>
      <c r="KV2" s="74"/>
      <c r="KW2" s="74"/>
      <c r="KX2" s="74"/>
      <c r="KY2" s="2"/>
      <c r="KZ2" s="74"/>
      <c r="LA2" s="74"/>
      <c r="LB2" s="74"/>
      <c r="LC2" s="74"/>
      <c r="LD2" s="74"/>
      <c r="LE2" s="74"/>
      <c r="LF2" s="74"/>
      <c r="LG2" s="74"/>
      <c r="LH2" s="74"/>
      <c r="LI2" s="74"/>
      <c r="LJ2" s="74"/>
      <c r="LK2" s="2"/>
      <c r="LL2" s="74"/>
      <c r="LM2" s="74"/>
      <c r="LN2" s="74"/>
      <c r="LO2" s="74"/>
      <c r="LP2" s="74"/>
      <c r="LQ2" s="74"/>
      <c r="LR2" s="74"/>
      <c r="LS2" s="74"/>
      <c r="LT2" s="74"/>
      <c r="LU2" s="74"/>
      <c r="LV2" s="74"/>
      <c r="LW2" s="2"/>
    </row>
    <row r="3" spans="1:420" ht="24" customHeight="1">
      <c r="A3" s="4" t="s">
        <v>1</v>
      </c>
      <c r="B3" s="5"/>
      <c r="C3" s="5"/>
      <c r="D3" s="79">
        <f>F6+Q6+AC6+AO6+BA6+BM6+BY6+CK6+CW6+DI6+DU6+ES6+FE6+FQ6+GC6+HA6+HM6+HY6+IK6+IW6+JI6+JU6+KG6+KS6+LE6+LQ6+EG6+GO6</f>
        <v>2914396</v>
      </c>
      <c r="E3" s="79"/>
      <c r="F3" s="80"/>
      <c r="G3" s="81">
        <f>F5+Q5+AC5+AO5+BA5+BM5+BY5+CK5+CW5+DI5+DU5+ES5+FE5+FQ5+GC5+HA5+HM5+HY5+IK5+IW5+JI5+JU5+KG5+KS5+LE5+LQ5+EG5+GO5</f>
        <v>0</v>
      </c>
      <c r="H3" s="81"/>
      <c r="I3" s="81"/>
      <c r="J3" s="81"/>
      <c r="K3" s="6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2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2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2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2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2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2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2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2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2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2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2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2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2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2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2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2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2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2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2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2"/>
      <c r="IR3" s="74"/>
      <c r="IS3" s="74"/>
      <c r="IT3" s="74"/>
      <c r="IU3" s="74"/>
      <c r="IV3" s="74"/>
      <c r="IW3" s="74"/>
      <c r="IX3" s="74"/>
      <c r="IY3" s="74"/>
      <c r="IZ3" s="74"/>
      <c r="JA3" s="74"/>
      <c r="JB3" s="74"/>
      <c r="JC3" s="2"/>
      <c r="JD3" s="74"/>
      <c r="JE3" s="74"/>
      <c r="JF3" s="74"/>
      <c r="JG3" s="74"/>
      <c r="JH3" s="74"/>
      <c r="JI3" s="74"/>
      <c r="JJ3" s="74"/>
      <c r="JK3" s="74"/>
      <c r="JL3" s="74"/>
      <c r="JM3" s="74"/>
      <c r="JN3" s="74"/>
      <c r="JO3" s="2"/>
      <c r="JP3" s="74"/>
      <c r="JQ3" s="74"/>
      <c r="JR3" s="74"/>
      <c r="JS3" s="74"/>
      <c r="JT3" s="74"/>
      <c r="JU3" s="74"/>
      <c r="JV3" s="74"/>
      <c r="JW3" s="74"/>
      <c r="JX3" s="74"/>
      <c r="JY3" s="74"/>
      <c r="JZ3" s="74"/>
      <c r="KA3" s="2"/>
      <c r="KB3" s="74"/>
      <c r="KC3" s="74"/>
      <c r="KD3" s="74"/>
      <c r="KE3" s="74"/>
      <c r="KF3" s="74"/>
      <c r="KG3" s="74"/>
      <c r="KH3" s="74"/>
      <c r="KI3" s="74"/>
      <c r="KJ3" s="74"/>
      <c r="KK3" s="74"/>
      <c r="KL3" s="74"/>
      <c r="KM3" s="2"/>
      <c r="KN3" s="74"/>
      <c r="KO3" s="74"/>
      <c r="KP3" s="74"/>
      <c r="KQ3" s="74"/>
      <c r="KR3" s="74"/>
      <c r="KS3" s="74"/>
      <c r="KT3" s="74"/>
      <c r="KU3" s="74"/>
      <c r="KV3" s="74"/>
      <c r="KW3" s="74"/>
      <c r="KX3" s="74"/>
      <c r="KY3" s="2"/>
      <c r="KZ3" s="74"/>
      <c r="LA3" s="74"/>
      <c r="LB3" s="74"/>
      <c r="LC3" s="74"/>
      <c r="LD3" s="74"/>
      <c r="LE3" s="74"/>
      <c r="LF3" s="74"/>
      <c r="LG3" s="74"/>
      <c r="LH3" s="74"/>
      <c r="LI3" s="74"/>
      <c r="LJ3" s="74"/>
      <c r="LK3" s="2"/>
      <c r="LL3" s="74"/>
      <c r="LM3" s="74"/>
      <c r="LN3" s="74"/>
      <c r="LO3" s="74"/>
      <c r="LP3" s="74"/>
      <c r="LQ3" s="74"/>
      <c r="LR3" s="74"/>
      <c r="LS3" s="74"/>
      <c r="LT3" s="74"/>
      <c r="LU3" s="74"/>
      <c r="LV3" s="74"/>
      <c r="LW3" s="2"/>
    </row>
    <row r="4" spans="1:420">
      <c r="A4" s="71" t="s">
        <v>2</v>
      </c>
      <c r="B4" s="72"/>
      <c r="C4" s="72"/>
      <c r="D4" s="72"/>
      <c r="E4" s="72"/>
      <c r="F4" s="72"/>
      <c r="G4" s="72"/>
      <c r="H4" s="72"/>
      <c r="I4" s="72"/>
      <c r="J4" s="73"/>
      <c r="L4" s="71" t="s">
        <v>3</v>
      </c>
      <c r="M4" s="72"/>
      <c r="N4" s="72"/>
      <c r="O4" s="72"/>
      <c r="P4" s="72"/>
      <c r="Q4" s="72"/>
      <c r="R4" s="72"/>
      <c r="S4" s="72"/>
      <c r="T4" s="72"/>
      <c r="U4" s="72"/>
      <c r="V4" s="73"/>
      <c r="X4" s="71" t="s">
        <v>4</v>
      </c>
      <c r="Y4" s="72"/>
      <c r="Z4" s="72"/>
      <c r="AA4" s="72"/>
      <c r="AB4" s="72"/>
      <c r="AC4" s="72"/>
      <c r="AD4" s="72"/>
      <c r="AE4" s="72"/>
      <c r="AF4" s="72"/>
      <c r="AG4" s="72"/>
      <c r="AH4" s="73"/>
      <c r="AJ4" s="71" t="s">
        <v>5</v>
      </c>
      <c r="AK4" s="72"/>
      <c r="AL4" s="72"/>
      <c r="AM4" s="72"/>
      <c r="AN4" s="72"/>
      <c r="AO4" s="72"/>
      <c r="AP4" s="72"/>
      <c r="AQ4" s="72"/>
      <c r="AR4" s="72"/>
      <c r="AS4" s="72"/>
      <c r="AT4" s="73"/>
      <c r="AV4" s="71" t="s">
        <v>6</v>
      </c>
      <c r="AW4" s="72"/>
      <c r="AX4" s="72"/>
      <c r="AY4" s="72"/>
      <c r="AZ4" s="72"/>
      <c r="BA4" s="72"/>
      <c r="BB4" s="72"/>
      <c r="BC4" s="72"/>
      <c r="BD4" s="72"/>
      <c r="BE4" s="72"/>
      <c r="BF4" s="73"/>
      <c r="BH4" s="71" t="s">
        <v>7</v>
      </c>
      <c r="BI4" s="72"/>
      <c r="BJ4" s="72"/>
      <c r="BK4" s="72"/>
      <c r="BL4" s="72"/>
      <c r="BM4" s="72"/>
      <c r="BN4" s="72"/>
      <c r="BO4" s="72"/>
      <c r="BP4" s="72"/>
      <c r="BQ4" s="72"/>
      <c r="BR4" s="73"/>
      <c r="BT4" s="71" t="s">
        <v>8</v>
      </c>
      <c r="BU4" s="72"/>
      <c r="BV4" s="72"/>
      <c r="BW4" s="72"/>
      <c r="BX4" s="72"/>
      <c r="BY4" s="72"/>
      <c r="BZ4" s="72"/>
      <c r="CA4" s="72"/>
      <c r="CB4" s="72"/>
      <c r="CC4" s="72"/>
      <c r="CD4" s="73"/>
      <c r="CF4" s="71" t="s">
        <v>9</v>
      </c>
      <c r="CG4" s="72"/>
      <c r="CH4" s="72"/>
      <c r="CI4" s="72"/>
      <c r="CJ4" s="72"/>
      <c r="CK4" s="72"/>
      <c r="CL4" s="72"/>
      <c r="CM4" s="72"/>
      <c r="CN4" s="72"/>
      <c r="CO4" s="72"/>
      <c r="CP4" s="73"/>
      <c r="CR4" s="71" t="s">
        <v>10</v>
      </c>
      <c r="CS4" s="72"/>
      <c r="CT4" s="72"/>
      <c r="CU4" s="72"/>
      <c r="CV4" s="72"/>
      <c r="CW4" s="72"/>
      <c r="CX4" s="72"/>
      <c r="CY4" s="72"/>
      <c r="CZ4" s="72"/>
      <c r="DA4" s="72"/>
      <c r="DB4" s="73"/>
      <c r="DD4" s="71" t="s">
        <v>11</v>
      </c>
      <c r="DE4" s="72"/>
      <c r="DF4" s="72"/>
      <c r="DG4" s="72"/>
      <c r="DH4" s="72"/>
      <c r="DI4" s="72"/>
      <c r="DJ4" s="72"/>
      <c r="DK4" s="72"/>
      <c r="DL4" s="72"/>
      <c r="DM4" s="72"/>
      <c r="DN4" s="73"/>
      <c r="DP4" s="71" t="s">
        <v>12</v>
      </c>
      <c r="DQ4" s="72"/>
      <c r="DR4" s="72"/>
      <c r="DS4" s="72"/>
      <c r="DT4" s="72"/>
      <c r="DU4" s="72"/>
      <c r="DV4" s="72"/>
      <c r="DW4" s="72"/>
      <c r="DX4" s="72"/>
      <c r="DY4" s="72"/>
      <c r="DZ4" s="73"/>
      <c r="EB4" s="71" t="s">
        <v>13</v>
      </c>
      <c r="EC4" s="72"/>
      <c r="ED4" s="72"/>
      <c r="EE4" s="72"/>
      <c r="EF4" s="72"/>
      <c r="EG4" s="72"/>
      <c r="EH4" s="72"/>
      <c r="EI4" s="72"/>
      <c r="EJ4" s="72"/>
      <c r="EK4" s="72"/>
      <c r="EL4" s="73"/>
      <c r="EN4" s="71" t="s">
        <v>14</v>
      </c>
      <c r="EO4" s="72"/>
      <c r="EP4" s="72"/>
      <c r="EQ4" s="72"/>
      <c r="ER4" s="72"/>
      <c r="ES4" s="72"/>
      <c r="ET4" s="72"/>
      <c r="EU4" s="72"/>
      <c r="EV4" s="72"/>
      <c r="EW4" s="72"/>
      <c r="EX4" s="73"/>
      <c r="EZ4" s="71" t="s">
        <v>15</v>
      </c>
      <c r="FA4" s="72"/>
      <c r="FB4" s="72"/>
      <c r="FC4" s="72"/>
      <c r="FD4" s="72"/>
      <c r="FE4" s="72"/>
      <c r="FF4" s="72"/>
      <c r="FG4" s="72"/>
      <c r="FH4" s="72"/>
      <c r="FI4" s="72"/>
      <c r="FJ4" s="73"/>
      <c r="FL4" s="71" t="s">
        <v>16</v>
      </c>
      <c r="FM4" s="72"/>
      <c r="FN4" s="72"/>
      <c r="FO4" s="72"/>
      <c r="FP4" s="72"/>
      <c r="FQ4" s="72"/>
      <c r="FR4" s="72"/>
      <c r="FS4" s="72"/>
      <c r="FT4" s="72"/>
      <c r="FU4" s="72"/>
      <c r="FV4" s="73"/>
      <c r="FX4" s="71" t="s">
        <v>17</v>
      </c>
      <c r="FY4" s="72"/>
      <c r="FZ4" s="72"/>
      <c r="GA4" s="72"/>
      <c r="GB4" s="72"/>
      <c r="GC4" s="72"/>
      <c r="GD4" s="72"/>
      <c r="GE4" s="72"/>
      <c r="GF4" s="72"/>
      <c r="GG4" s="72"/>
      <c r="GH4" s="73"/>
      <c r="GJ4" s="71" t="s">
        <v>18</v>
      </c>
      <c r="GK4" s="72"/>
      <c r="GL4" s="72"/>
      <c r="GM4" s="72"/>
      <c r="GN4" s="72"/>
      <c r="GO4" s="72"/>
      <c r="GP4" s="72"/>
      <c r="GQ4" s="72"/>
      <c r="GR4" s="72"/>
      <c r="GS4" s="72"/>
      <c r="GT4" s="73"/>
      <c r="GV4" s="71" t="s">
        <v>19</v>
      </c>
      <c r="GW4" s="72"/>
      <c r="GX4" s="72"/>
      <c r="GY4" s="72"/>
      <c r="GZ4" s="72"/>
      <c r="HA4" s="72"/>
      <c r="HB4" s="72"/>
      <c r="HC4" s="72"/>
      <c r="HD4" s="72"/>
      <c r="HE4" s="72"/>
      <c r="HF4" s="73"/>
      <c r="HH4" s="71" t="s">
        <v>20</v>
      </c>
      <c r="HI4" s="72"/>
      <c r="HJ4" s="72"/>
      <c r="HK4" s="72"/>
      <c r="HL4" s="72"/>
      <c r="HM4" s="72"/>
      <c r="HN4" s="72"/>
      <c r="HO4" s="72"/>
      <c r="HP4" s="72"/>
      <c r="HQ4" s="72"/>
      <c r="HR4" s="73"/>
      <c r="HT4" s="71" t="s">
        <v>21</v>
      </c>
      <c r="HU4" s="72"/>
      <c r="HV4" s="72"/>
      <c r="HW4" s="72"/>
      <c r="HX4" s="72"/>
      <c r="HY4" s="72"/>
      <c r="HZ4" s="72"/>
      <c r="IA4" s="72"/>
      <c r="IB4" s="72"/>
      <c r="IC4" s="72"/>
      <c r="ID4" s="73"/>
      <c r="IF4" s="71" t="s">
        <v>22</v>
      </c>
      <c r="IG4" s="72"/>
      <c r="IH4" s="72"/>
      <c r="II4" s="72"/>
      <c r="IJ4" s="72"/>
      <c r="IK4" s="72"/>
      <c r="IL4" s="72"/>
      <c r="IM4" s="72"/>
      <c r="IN4" s="72"/>
      <c r="IO4" s="72"/>
      <c r="IP4" s="73"/>
      <c r="IR4" s="71" t="s">
        <v>23</v>
      </c>
      <c r="IS4" s="72"/>
      <c r="IT4" s="72"/>
      <c r="IU4" s="72"/>
      <c r="IV4" s="72"/>
      <c r="IW4" s="72"/>
      <c r="IX4" s="72"/>
      <c r="IY4" s="72"/>
      <c r="IZ4" s="72"/>
      <c r="JA4" s="72"/>
      <c r="JB4" s="73"/>
      <c r="JD4" s="71" t="s">
        <v>24</v>
      </c>
      <c r="JE4" s="72"/>
      <c r="JF4" s="72"/>
      <c r="JG4" s="72"/>
      <c r="JH4" s="72"/>
      <c r="JI4" s="72"/>
      <c r="JJ4" s="72"/>
      <c r="JK4" s="72"/>
      <c r="JL4" s="72"/>
      <c r="JM4" s="72"/>
      <c r="JN4" s="73"/>
      <c r="JP4" s="71" t="s">
        <v>25</v>
      </c>
      <c r="JQ4" s="72"/>
      <c r="JR4" s="72"/>
      <c r="JS4" s="72"/>
      <c r="JT4" s="72"/>
      <c r="JU4" s="72"/>
      <c r="JV4" s="72"/>
      <c r="JW4" s="72"/>
      <c r="JX4" s="72"/>
      <c r="JY4" s="72"/>
      <c r="JZ4" s="73"/>
      <c r="KB4" s="71" t="s">
        <v>26</v>
      </c>
      <c r="KC4" s="72"/>
      <c r="KD4" s="72"/>
      <c r="KE4" s="72"/>
      <c r="KF4" s="72"/>
      <c r="KG4" s="72"/>
      <c r="KH4" s="72"/>
      <c r="KI4" s="72"/>
      <c r="KJ4" s="72"/>
      <c r="KK4" s="72"/>
      <c r="KL4" s="73"/>
      <c r="KN4" s="71" t="s">
        <v>27</v>
      </c>
      <c r="KO4" s="72"/>
      <c r="KP4" s="72"/>
      <c r="KQ4" s="72"/>
      <c r="KR4" s="72"/>
      <c r="KS4" s="72"/>
      <c r="KT4" s="72"/>
      <c r="KU4" s="72"/>
      <c r="KV4" s="72"/>
      <c r="KW4" s="72"/>
      <c r="KX4" s="73"/>
      <c r="KZ4" s="71" t="s">
        <v>28</v>
      </c>
      <c r="LA4" s="72"/>
      <c r="LB4" s="72"/>
      <c r="LC4" s="72"/>
      <c r="LD4" s="72"/>
      <c r="LE4" s="72"/>
      <c r="LF4" s="72"/>
      <c r="LG4" s="72"/>
      <c r="LH4" s="72"/>
      <c r="LI4" s="72"/>
      <c r="LJ4" s="73"/>
      <c r="LL4" s="71" t="s">
        <v>29</v>
      </c>
      <c r="LM4" s="72"/>
      <c r="LN4" s="72"/>
      <c r="LO4" s="72"/>
      <c r="LP4" s="72"/>
      <c r="LQ4" s="72"/>
      <c r="LR4" s="72"/>
      <c r="LS4" s="72"/>
      <c r="LT4" s="72"/>
      <c r="LU4" s="72"/>
      <c r="LV4" s="73"/>
    </row>
    <row r="5" spans="1:420" s="13" customFormat="1" ht="15.75" customHeight="1">
      <c r="A5" s="7">
        <f>MAX(A7:A502)</f>
        <v>1</v>
      </c>
      <c r="B5" s="8"/>
      <c r="C5" s="8">
        <f>SUMIF(C7:C500, "Hard Case", B7:B500)</f>
        <v>0</v>
      </c>
      <c r="D5" s="67" t="s">
        <v>30</v>
      </c>
      <c r="E5" s="67" t="s">
        <v>31</v>
      </c>
      <c r="F5" s="9">
        <f>SUMIF(B7:B502,1,F7:F502)</f>
        <v>0</v>
      </c>
      <c r="G5" s="10" t="s">
        <v>32</v>
      </c>
      <c r="H5" s="10" t="s">
        <v>33</v>
      </c>
      <c r="I5" s="8"/>
      <c r="J5" s="11"/>
      <c r="K5" s="12"/>
      <c r="L5" s="7">
        <f>MAX(L7:L502)</f>
        <v>2</v>
      </c>
      <c r="M5" s="8"/>
      <c r="N5" s="8">
        <f>SUMIF(N7:N500, "Hard Case", M7:M500)</f>
        <v>0</v>
      </c>
      <c r="O5" s="67" t="s">
        <v>30</v>
      </c>
      <c r="P5" s="69" t="s">
        <v>31</v>
      </c>
      <c r="Q5" s="9">
        <f>SUMIF(M7:M502,1,Q7:Q502)</f>
        <v>0</v>
      </c>
      <c r="R5" s="10" t="s">
        <v>32</v>
      </c>
      <c r="S5" s="10" t="s">
        <v>34</v>
      </c>
      <c r="T5" s="10" t="s">
        <v>33</v>
      </c>
      <c r="U5" s="8"/>
      <c r="V5" s="11"/>
      <c r="W5" s="12"/>
      <c r="X5" s="7">
        <f>MAX(X7:X502)</f>
        <v>2</v>
      </c>
      <c r="Y5" s="8"/>
      <c r="Z5" s="8">
        <f>SUMIF(Z7:Z500, "Hard Case", Y7:Y500)</f>
        <v>0</v>
      </c>
      <c r="AA5" s="67" t="s">
        <v>30</v>
      </c>
      <c r="AB5" s="69" t="s">
        <v>31</v>
      </c>
      <c r="AC5" s="9">
        <f>SUMIF(Y7:Y502,1,AC7:AC502)</f>
        <v>0</v>
      </c>
      <c r="AD5" s="10" t="s">
        <v>32</v>
      </c>
      <c r="AE5" s="10" t="s">
        <v>34</v>
      </c>
      <c r="AF5" s="10" t="s">
        <v>33</v>
      </c>
      <c r="AG5" s="8"/>
      <c r="AH5" s="11"/>
      <c r="AI5" s="12"/>
      <c r="AJ5" s="7">
        <f>MAX(AJ7:AJ502)</f>
        <v>3</v>
      </c>
      <c r="AK5" s="8"/>
      <c r="AL5" s="8">
        <f>SUMIF(AL7:AL500, "Hard Case", AK7:AK500)</f>
        <v>0</v>
      </c>
      <c r="AM5" s="67" t="s">
        <v>30</v>
      </c>
      <c r="AN5" s="69" t="s">
        <v>31</v>
      </c>
      <c r="AO5" s="9">
        <f>SUMIF(AK7:AK502,1,AO7:AO502)</f>
        <v>0</v>
      </c>
      <c r="AP5" s="10" t="s">
        <v>32</v>
      </c>
      <c r="AQ5" s="10" t="s">
        <v>34</v>
      </c>
      <c r="AR5" s="10" t="s">
        <v>33</v>
      </c>
      <c r="AS5" s="8"/>
      <c r="AT5" s="11"/>
      <c r="AU5" s="12"/>
      <c r="AV5" s="7">
        <f>MAX(AV7:AV502)</f>
        <v>2</v>
      </c>
      <c r="AW5" s="8"/>
      <c r="AX5" s="8">
        <f>SUMIF(AX7:AX500, "Hard Case", AW7:AW500)</f>
        <v>0</v>
      </c>
      <c r="AY5" s="67" t="s">
        <v>30</v>
      </c>
      <c r="AZ5" s="69" t="s">
        <v>31</v>
      </c>
      <c r="BA5" s="9">
        <f>SUMIF(AW7:AW502,1,BA7:BA502)</f>
        <v>0</v>
      </c>
      <c r="BB5" s="10" t="s">
        <v>32</v>
      </c>
      <c r="BC5" s="10" t="s">
        <v>34</v>
      </c>
      <c r="BD5" s="10" t="s">
        <v>33</v>
      </c>
      <c r="BE5" s="8"/>
      <c r="BF5" s="11"/>
      <c r="BG5" s="12"/>
      <c r="BH5" s="7">
        <f>MAX(BH7:BH502)</f>
        <v>3</v>
      </c>
      <c r="BI5" s="8"/>
      <c r="BJ5" s="8">
        <f>SUMIF(BJ7:BJ500, "Hard Case", BI7:BI500)</f>
        <v>0</v>
      </c>
      <c r="BK5" s="67" t="s">
        <v>30</v>
      </c>
      <c r="BL5" s="69" t="s">
        <v>31</v>
      </c>
      <c r="BM5" s="9">
        <f>SUMIF(BI7:BI502,1,BM7:BM502)</f>
        <v>0</v>
      </c>
      <c r="BN5" s="10" t="s">
        <v>32</v>
      </c>
      <c r="BO5" s="10" t="s">
        <v>34</v>
      </c>
      <c r="BP5" s="10" t="s">
        <v>33</v>
      </c>
      <c r="BQ5" s="8"/>
      <c r="BR5" s="11"/>
      <c r="BS5" s="12"/>
      <c r="BT5" s="7">
        <f>MAX(BT7:BT502)</f>
        <v>17</v>
      </c>
      <c r="BU5" s="8"/>
      <c r="BV5" s="8">
        <f>SUMIF(BV7:BV500, "Hard Case", BU7:BU500)</f>
        <v>0</v>
      </c>
      <c r="BW5" s="67" t="s">
        <v>30</v>
      </c>
      <c r="BX5" s="69" t="s">
        <v>31</v>
      </c>
      <c r="BY5" s="9">
        <f>SUMIF(BU7:BU502,1,BY7:BY502)</f>
        <v>0</v>
      </c>
      <c r="BZ5" s="10" t="s">
        <v>32</v>
      </c>
      <c r="CA5" s="10" t="s">
        <v>34</v>
      </c>
      <c r="CB5" s="10" t="s">
        <v>33</v>
      </c>
      <c r="CC5" s="8"/>
      <c r="CD5" s="11"/>
      <c r="CE5" s="12"/>
      <c r="CF5" s="7">
        <f>MAX(CF7:CF502)</f>
        <v>12</v>
      </c>
      <c r="CG5" s="8"/>
      <c r="CH5" s="8">
        <f>SUMIF(CH7:CH500, "Hard Case", CG7:CG500)</f>
        <v>0</v>
      </c>
      <c r="CI5" s="67" t="s">
        <v>30</v>
      </c>
      <c r="CJ5" s="69" t="s">
        <v>31</v>
      </c>
      <c r="CK5" s="9">
        <f>SUMIF(CG7:CG502,1,CK7:CK502)</f>
        <v>0</v>
      </c>
      <c r="CL5" s="10" t="s">
        <v>32</v>
      </c>
      <c r="CM5" s="10" t="s">
        <v>34</v>
      </c>
      <c r="CN5" s="10" t="s">
        <v>33</v>
      </c>
      <c r="CO5" s="8"/>
      <c r="CP5" s="11"/>
      <c r="CQ5" s="12"/>
      <c r="CR5" s="7">
        <f>MAX(CR7:CR502)</f>
        <v>5</v>
      </c>
      <c r="CS5" s="8"/>
      <c r="CT5" s="8">
        <f>SUMIF(CT7:CT500, "Hard Case", CS7:CS500)</f>
        <v>0</v>
      </c>
      <c r="CU5" s="67" t="s">
        <v>30</v>
      </c>
      <c r="CV5" s="69" t="s">
        <v>31</v>
      </c>
      <c r="CW5" s="9">
        <f>SUMIF(CS7:CS502,1,CW7:CW502)</f>
        <v>0</v>
      </c>
      <c r="CX5" s="10" t="s">
        <v>32</v>
      </c>
      <c r="CY5" s="10" t="s">
        <v>34</v>
      </c>
      <c r="CZ5" s="10" t="s">
        <v>33</v>
      </c>
      <c r="DA5" s="8"/>
      <c r="DB5" s="11"/>
      <c r="DC5" s="12"/>
      <c r="DD5" s="7">
        <f>MAX(DD7:DD502)</f>
        <v>6</v>
      </c>
      <c r="DE5" s="8"/>
      <c r="DF5" s="8">
        <f>SUMIF(DF7:DF500, "Hard Case", DE7:DE500)</f>
        <v>0</v>
      </c>
      <c r="DG5" s="67" t="s">
        <v>30</v>
      </c>
      <c r="DH5" s="69" t="s">
        <v>31</v>
      </c>
      <c r="DI5" s="9">
        <f>SUMIF(DE7:DE502,1,DI7:DI502)</f>
        <v>0</v>
      </c>
      <c r="DJ5" s="10" t="s">
        <v>32</v>
      </c>
      <c r="DK5" s="10" t="s">
        <v>34</v>
      </c>
      <c r="DL5" s="10" t="s">
        <v>33</v>
      </c>
      <c r="DM5" s="8"/>
      <c r="DN5" s="11"/>
      <c r="DO5" s="12"/>
      <c r="DP5" s="7">
        <f>MAX(DP7:DP502)</f>
        <v>7</v>
      </c>
      <c r="DQ5" s="8"/>
      <c r="DR5" s="8">
        <f>SUMIF(DR7:DR500, "Hard Case", DQ7:DQ500)</f>
        <v>0</v>
      </c>
      <c r="DS5" s="67" t="s">
        <v>30</v>
      </c>
      <c r="DT5" s="69" t="s">
        <v>31</v>
      </c>
      <c r="DU5" s="9">
        <f>SUMIF(DQ7:DQ502,1,DU7:DU502)</f>
        <v>0</v>
      </c>
      <c r="DV5" s="10" t="s">
        <v>32</v>
      </c>
      <c r="DW5" s="10" t="s">
        <v>34</v>
      </c>
      <c r="DX5" s="10" t="s">
        <v>33</v>
      </c>
      <c r="DY5" s="8"/>
      <c r="DZ5" s="11"/>
      <c r="EA5" s="12"/>
      <c r="EB5" s="7">
        <f>MAX(EB7:EB502)</f>
        <v>1</v>
      </c>
      <c r="EC5" s="8"/>
      <c r="ED5" s="8">
        <f>SUMIF(ED7:ED500, "Hard Case", EC7:EC500)</f>
        <v>0</v>
      </c>
      <c r="EE5" s="67" t="s">
        <v>30</v>
      </c>
      <c r="EF5" s="69" t="s">
        <v>31</v>
      </c>
      <c r="EG5" s="9">
        <f>SUMIF(EC7:EC502,1,EG7:EG502)</f>
        <v>0</v>
      </c>
      <c r="EH5" s="10" t="s">
        <v>32</v>
      </c>
      <c r="EI5" s="10" t="s">
        <v>34</v>
      </c>
      <c r="EJ5" s="10" t="s">
        <v>33</v>
      </c>
      <c r="EK5" s="8"/>
      <c r="EL5" s="11"/>
      <c r="EM5" s="12"/>
      <c r="EN5" s="7">
        <f>MAX(EN7:EN502)</f>
        <v>2</v>
      </c>
      <c r="EO5" s="8"/>
      <c r="EP5" s="8">
        <f>SUMIF(EP7:EP500, "Hard Case", EO7:EO500)</f>
        <v>0</v>
      </c>
      <c r="EQ5" s="67" t="s">
        <v>30</v>
      </c>
      <c r="ER5" s="69" t="s">
        <v>31</v>
      </c>
      <c r="ES5" s="9">
        <f>SUMIF(EO7:EO502,1,ES7:ES502)</f>
        <v>0</v>
      </c>
      <c r="ET5" s="10" t="s">
        <v>32</v>
      </c>
      <c r="EU5" s="10" t="s">
        <v>34</v>
      </c>
      <c r="EV5" s="10" t="s">
        <v>33</v>
      </c>
      <c r="EW5" s="8"/>
      <c r="EX5" s="11"/>
      <c r="EY5" s="12"/>
      <c r="EZ5" s="7">
        <f>MAX(EZ7:EZ502)</f>
        <v>1</v>
      </c>
      <c r="FA5" s="8"/>
      <c r="FB5" s="8">
        <f>SUMIF(FB7:FB500, "Hard Case", FA7:FA500)</f>
        <v>0</v>
      </c>
      <c r="FC5" s="67" t="s">
        <v>30</v>
      </c>
      <c r="FD5" s="69" t="s">
        <v>31</v>
      </c>
      <c r="FE5" s="9">
        <f>SUMIF(FA7:FA502,1,FE7:FE502)</f>
        <v>0</v>
      </c>
      <c r="FF5" s="10" t="s">
        <v>32</v>
      </c>
      <c r="FG5" s="10" t="s">
        <v>34</v>
      </c>
      <c r="FH5" s="10" t="s">
        <v>33</v>
      </c>
      <c r="FI5" s="8"/>
      <c r="FJ5" s="11"/>
      <c r="FK5" s="12"/>
      <c r="FL5" s="7">
        <f>MAX(FL7:FL502)</f>
        <v>7</v>
      </c>
      <c r="FM5" s="8"/>
      <c r="FN5" s="8">
        <f>SUMIF(FN7:FN500, "Hard Case", FM7:FM500)</f>
        <v>0</v>
      </c>
      <c r="FO5" s="67" t="s">
        <v>30</v>
      </c>
      <c r="FP5" s="69" t="s">
        <v>31</v>
      </c>
      <c r="FQ5" s="9">
        <f>SUMIF(FM7:FM502,1,FQ7:FQ502)</f>
        <v>0</v>
      </c>
      <c r="FR5" s="10" t="s">
        <v>32</v>
      </c>
      <c r="FS5" s="10" t="s">
        <v>34</v>
      </c>
      <c r="FT5" s="10" t="s">
        <v>33</v>
      </c>
      <c r="FU5" s="8"/>
      <c r="FV5" s="11"/>
      <c r="FW5" s="12"/>
      <c r="FX5" s="7">
        <f>MAX(FX7:FX502)</f>
        <v>10</v>
      </c>
      <c r="FY5" s="8"/>
      <c r="FZ5" s="8">
        <f>SUMIF(FZ7:FZ500, "Hard Case", FY7:FY500)</f>
        <v>0</v>
      </c>
      <c r="GA5" s="67" t="s">
        <v>30</v>
      </c>
      <c r="GB5" s="69" t="s">
        <v>31</v>
      </c>
      <c r="GC5" s="9">
        <f>SUMIF(FY7:FY502,1,GC7:GC502)</f>
        <v>0</v>
      </c>
      <c r="GD5" s="10" t="s">
        <v>32</v>
      </c>
      <c r="GE5" s="10" t="s">
        <v>34</v>
      </c>
      <c r="GF5" s="10" t="s">
        <v>33</v>
      </c>
      <c r="GG5" s="8"/>
      <c r="GH5" s="11"/>
      <c r="GI5" s="12"/>
      <c r="GJ5" s="7">
        <f>MAX(GJ7:GJ502)</f>
        <v>3</v>
      </c>
      <c r="GK5" s="8"/>
      <c r="GL5" s="8">
        <f>SUMIF(GL7:GL500, "Hard Case", GK7:GK500)</f>
        <v>0</v>
      </c>
      <c r="GM5" s="67" t="s">
        <v>30</v>
      </c>
      <c r="GN5" s="69" t="s">
        <v>31</v>
      </c>
      <c r="GO5" s="9">
        <f>SUMIF(GK7:GK502,1,GO7:GO502)</f>
        <v>0</v>
      </c>
      <c r="GP5" s="10" t="s">
        <v>32</v>
      </c>
      <c r="GQ5" s="10" t="s">
        <v>34</v>
      </c>
      <c r="GR5" s="10" t="s">
        <v>33</v>
      </c>
      <c r="GS5" s="8"/>
      <c r="GT5" s="11"/>
      <c r="GU5" s="12"/>
      <c r="GV5" s="7">
        <f>MAX(GV7:GV502)</f>
        <v>5</v>
      </c>
      <c r="GW5" s="8"/>
      <c r="GX5" s="8">
        <f>SUMIF(GX7:GX500, "Hard Case", GW7:GW500)</f>
        <v>0</v>
      </c>
      <c r="GY5" s="67" t="s">
        <v>30</v>
      </c>
      <c r="GZ5" s="69" t="s">
        <v>31</v>
      </c>
      <c r="HA5" s="9">
        <f>SUMIF(GW7:GW502,1,HA7:HA502)</f>
        <v>0</v>
      </c>
      <c r="HB5" s="10" t="s">
        <v>32</v>
      </c>
      <c r="HC5" s="10" t="s">
        <v>34</v>
      </c>
      <c r="HD5" s="10" t="s">
        <v>33</v>
      </c>
      <c r="HE5" s="8"/>
      <c r="HF5" s="11"/>
      <c r="HG5" s="12"/>
      <c r="HH5" s="7">
        <f>MAX(HH7:HH502)</f>
        <v>7</v>
      </c>
      <c r="HI5" s="8"/>
      <c r="HJ5" s="8">
        <f>SUMIF(HJ7:HJ500, "Hard Case", HI7:HI500)</f>
        <v>0</v>
      </c>
      <c r="HK5" s="67" t="s">
        <v>30</v>
      </c>
      <c r="HL5" s="69" t="s">
        <v>31</v>
      </c>
      <c r="HM5" s="9">
        <f>SUMIF(HI7:HI502,1,HM7:HM502)</f>
        <v>0</v>
      </c>
      <c r="HN5" s="10" t="s">
        <v>32</v>
      </c>
      <c r="HO5" s="10" t="s">
        <v>34</v>
      </c>
      <c r="HP5" s="10" t="s">
        <v>33</v>
      </c>
      <c r="HQ5" s="8"/>
      <c r="HR5" s="11"/>
      <c r="HS5" s="12"/>
      <c r="HT5" s="7">
        <f>MAX(HT7:HT502)</f>
        <v>8</v>
      </c>
      <c r="HU5" s="8"/>
      <c r="HV5" s="8">
        <f>SUMIF(HV7:HV500, "Hard Case", HU7:HU500)</f>
        <v>0</v>
      </c>
      <c r="HW5" s="67" t="s">
        <v>30</v>
      </c>
      <c r="HX5" s="69" t="s">
        <v>31</v>
      </c>
      <c r="HY5" s="9">
        <f>SUMIF(HU7:HU502,1,HY7:HY502)</f>
        <v>0</v>
      </c>
      <c r="HZ5" s="10" t="s">
        <v>32</v>
      </c>
      <c r="IA5" s="10" t="s">
        <v>34</v>
      </c>
      <c r="IB5" s="10" t="s">
        <v>33</v>
      </c>
      <c r="IC5" s="8"/>
      <c r="ID5" s="11"/>
      <c r="IE5" s="12"/>
      <c r="IF5" s="7">
        <f>MAX(IF7:IF502)</f>
        <v>18</v>
      </c>
      <c r="IG5" s="8"/>
      <c r="IH5" s="8">
        <f>SUMIF(IH7:IH500, "Hard Case", IG7:IG500)</f>
        <v>0</v>
      </c>
      <c r="II5" s="67" t="s">
        <v>30</v>
      </c>
      <c r="IJ5" s="69" t="s">
        <v>31</v>
      </c>
      <c r="IK5" s="9">
        <f>SUMIF(IG7:IG502,1,IK7:IK502)</f>
        <v>0</v>
      </c>
      <c r="IL5" s="10" t="s">
        <v>32</v>
      </c>
      <c r="IM5" s="10" t="s">
        <v>34</v>
      </c>
      <c r="IN5" s="10" t="s">
        <v>33</v>
      </c>
      <c r="IO5" s="8"/>
      <c r="IP5" s="11"/>
      <c r="IQ5" s="12"/>
      <c r="IR5" s="7">
        <f>MAX(IR7:IR502)</f>
        <v>7</v>
      </c>
      <c r="IS5" s="8"/>
      <c r="IT5" s="8">
        <f>SUMIF(IT7:IT500, "Hard Case", IS7:IS500)</f>
        <v>0</v>
      </c>
      <c r="IU5" s="67" t="s">
        <v>30</v>
      </c>
      <c r="IV5" s="69" t="s">
        <v>31</v>
      </c>
      <c r="IW5" s="9">
        <f>SUMIF(IS7:IS502,1,IW7:IW502)</f>
        <v>0</v>
      </c>
      <c r="IX5" s="10" t="s">
        <v>32</v>
      </c>
      <c r="IY5" s="10" t="s">
        <v>34</v>
      </c>
      <c r="IZ5" s="10" t="s">
        <v>33</v>
      </c>
      <c r="JA5" s="8"/>
      <c r="JB5" s="11"/>
      <c r="JC5" s="12"/>
      <c r="JD5" s="7">
        <f>MAX(JD7:JD502)</f>
        <v>10</v>
      </c>
      <c r="JE5" s="8"/>
      <c r="JF5" s="8">
        <f>SUMIF(JF7:JF500, "Hard Case", JE7:JE500)</f>
        <v>0</v>
      </c>
      <c r="JG5" s="67" t="s">
        <v>30</v>
      </c>
      <c r="JH5" s="69" t="s">
        <v>31</v>
      </c>
      <c r="JI5" s="9">
        <f>SUMIF(JE7:JE502,1,JI7:JI502)</f>
        <v>0</v>
      </c>
      <c r="JJ5" s="10" t="s">
        <v>32</v>
      </c>
      <c r="JK5" s="10" t="s">
        <v>34</v>
      </c>
      <c r="JL5" s="10" t="s">
        <v>33</v>
      </c>
      <c r="JM5" s="8"/>
      <c r="JN5" s="11"/>
      <c r="JO5" s="12"/>
      <c r="JP5" s="7">
        <f>MAX(JP7:JP502)</f>
        <v>12</v>
      </c>
      <c r="JQ5" s="8"/>
      <c r="JR5" s="8">
        <f>SUMIF(JR7:JR500, "Hard Case", JQ7:JQ500)</f>
        <v>0</v>
      </c>
      <c r="JS5" s="67" t="s">
        <v>30</v>
      </c>
      <c r="JT5" s="69" t="s">
        <v>31</v>
      </c>
      <c r="JU5" s="9">
        <f>SUMIF(JQ7:JQ502,1,JU7:JU502)</f>
        <v>0</v>
      </c>
      <c r="JV5" s="10" t="s">
        <v>32</v>
      </c>
      <c r="JW5" s="10" t="s">
        <v>34</v>
      </c>
      <c r="JX5" s="10" t="s">
        <v>33</v>
      </c>
      <c r="JY5" s="8"/>
      <c r="JZ5" s="11"/>
      <c r="KA5" s="12"/>
      <c r="KB5" s="7">
        <f>MAX(KB7:KB502)</f>
        <v>17</v>
      </c>
      <c r="KC5" s="8"/>
      <c r="KD5" s="8">
        <f>SUMIF(KD7:KD500, "Hard Case", KC7:KC500)</f>
        <v>0</v>
      </c>
      <c r="KE5" s="67" t="s">
        <v>30</v>
      </c>
      <c r="KF5" s="69" t="s">
        <v>31</v>
      </c>
      <c r="KG5" s="9">
        <f>SUMIF(KC7:KC502,1,KG7:KG502)</f>
        <v>0</v>
      </c>
      <c r="KH5" s="10" t="s">
        <v>32</v>
      </c>
      <c r="KI5" s="10" t="s">
        <v>34</v>
      </c>
      <c r="KJ5" s="10" t="s">
        <v>33</v>
      </c>
      <c r="KK5" s="8"/>
      <c r="KL5" s="11"/>
      <c r="KM5" s="12"/>
      <c r="KN5" s="7">
        <f>MAX(KN7:KN502)</f>
        <v>8</v>
      </c>
      <c r="KO5" s="8"/>
      <c r="KP5" s="8">
        <f>SUMIF(KP7:KP500, "Hard Case", KO7:KO500)</f>
        <v>0</v>
      </c>
      <c r="KQ5" s="67" t="s">
        <v>30</v>
      </c>
      <c r="KR5" s="69" t="s">
        <v>31</v>
      </c>
      <c r="KS5" s="9">
        <f>SUMIF(KO7:KO502,1,KS7:KS502)</f>
        <v>0</v>
      </c>
      <c r="KT5" s="10" t="s">
        <v>32</v>
      </c>
      <c r="KU5" s="10" t="s">
        <v>34</v>
      </c>
      <c r="KV5" s="10" t="s">
        <v>33</v>
      </c>
      <c r="KW5" s="8"/>
      <c r="KX5" s="11"/>
      <c r="KY5" s="12"/>
      <c r="KZ5" s="7">
        <f>MAX(KZ7:KZ502)</f>
        <v>6</v>
      </c>
      <c r="LA5" s="8"/>
      <c r="LB5" s="8">
        <f>SUMIF(LB7:LB500, "Hard Case", LA7:LA500)</f>
        <v>0</v>
      </c>
      <c r="LC5" s="67" t="s">
        <v>30</v>
      </c>
      <c r="LD5" s="69" t="s">
        <v>31</v>
      </c>
      <c r="LE5" s="9">
        <f>SUMIF(LA7:LA502,1,LE7:LE502)</f>
        <v>0</v>
      </c>
      <c r="LF5" s="10" t="s">
        <v>32</v>
      </c>
      <c r="LG5" s="10" t="s">
        <v>34</v>
      </c>
      <c r="LH5" s="10" t="s">
        <v>33</v>
      </c>
      <c r="LI5" s="8"/>
      <c r="LJ5" s="11"/>
      <c r="LK5" s="12"/>
      <c r="LL5" s="7">
        <f>MAX(LL7:LL502)</f>
        <v>5</v>
      </c>
      <c r="LM5" s="8"/>
      <c r="LN5" s="8">
        <f>SUMIF(LN7:LN500, "Hard Case", LM7:LM500)</f>
        <v>0</v>
      </c>
      <c r="LO5" s="67" t="s">
        <v>30</v>
      </c>
      <c r="LP5" s="69" t="s">
        <v>31</v>
      </c>
      <c r="LQ5" s="9">
        <f>SUMIF(LM7:LM502,1,LQ7:LQ502)</f>
        <v>0</v>
      </c>
      <c r="LR5" s="10" t="s">
        <v>32</v>
      </c>
      <c r="LS5" s="10" t="s">
        <v>34</v>
      </c>
      <c r="LT5" s="10" t="s">
        <v>33</v>
      </c>
      <c r="LU5" s="8"/>
      <c r="LV5" s="11"/>
      <c r="LW5" s="12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</row>
    <row r="6" spans="1:420" ht="15.75" customHeight="1">
      <c r="A6" s="14"/>
      <c r="B6" s="15">
        <f>SUM(B7:B500)</f>
        <v>0</v>
      </c>
      <c r="C6" s="15">
        <f>COUNTIF(C7:C500, "Hard Case")</f>
        <v>1</v>
      </c>
      <c r="D6" s="68"/>
      <c r="E6" s="68"/>
      <c r="F6" s="16">
        <f>SUM(F7:F500)</f>
        <v>1000</v>
      </c>
      <c r="G6" s="17" t="s">
        <v>35</v>
      </c>
      <c r="H6" s="17" t="s">
        <v>36</v>
      </c>
      <c r="J6" s="19"/>
      <c r="L6" s="14"/>
      <c r="M6" s="15">
        <f>SUM(M7:M500)</f>
        <v>0</v>
      </c>
      <c r="N6" s="15">
        <f>COUNTIF(N7:N500, "Hard Case")</f>
        <v>2</v>
      </c>
      <c r="O6" s="68"/>
      <c r="P6" s="70"/>
      <c r="Q6" s="16">
        <f>SUM(Q7:Q500)</f>
        <v>8100</v>
      </c>
      <c r="R6" s="17" t="s">
        <v>35</v>
      </c>
      <c r="S6" s="17" t="s">
        <v>37</v>
      </c>
      <c r="T6" s="10" t="s">
        <v>36</v>
      </c>
      <c r="V6" s="19"/>
      <c r="X6" s="14"/>
      <c r="Y6" s="15">
        <f>SUM(Y7:Y500)</f>
        <v>0</v>
      </c>
      <c r="Z6" s="15">
        <f>COUNTIF(Z7:Z500, "Hard Case")</f>
        <v>0</v>
      </c>
      <c r="AA6" s="68"/>
      <c r="AB6" s="70"/>
      <c r="AC6" s="16">
        <f>SUM(AC7:AC500)</f>
        <v>1000</v>
      </c>
      <c r="AD6" s="17" t="s">
        <v>35</v>
      </c>
      <c r="AE6" s="17" t="s">
        <v>37</v>
      </c>
      <c r="AF6" s="10" t="s">
        <v>36</v>
      </c>
      <c r="AH6" s="19"/>
      <c r="AJ6" s="14"/>
      <c r="AK6" s="15">
        <f>SUM(AK7:AK500)</f>
        <v>0</v>
      </c>
      <c r="AL6" s="15">
        <f>COUNTIF(AL7:AL500, "Hard Case")</f>
        <v>0</v>
      </c>
      <c r="AM6" s="68"/>
      <c r="AN6" s="70"/>
      <c r="AO6" s="16">
        <f>SUM(AO7:AO500)</f>
        <v>750</v>
      </c>
      <c r="AP6" s="17" t="s">
        <v>35</v>
      </c>
      <c r="AQ6" s="17" t="s">
        <v>37</v>
      </c>
      <c r="AR6" s="10" t="s">
        <v>36</v>
      </c>
      <c r="AT6" s="19"/>
      <c r="AV6" s="14"/>
      <c r="AW6" s="15">
        <f>SUM(AW7:AW500)</f>
        <v>0</v>
      </c>
      <c r="AX6" s="15">
        <f>COUNTIF(AX7:AX500, "Hard Case")</f>
        <v>0</v>
      </c>
      <c r="AY6" s="68"/>
      <c r="AZ6" s="70"/>
      <c r="BA6" s="16">
        <f>SUM(BA7:BA500)</f>
        <v>160</v>
      </c>
      <c r="BB6" s="17" t="s">
        <v>35</v>
      </c>
      <c r="BC6" s="17" t="s">
        <v>37</v>
      </c>
      <c r="BD6" s="10" t="s">
        <v>36</v>
      </c>
      <c r="BF6" s="19"/>
      <c r="BH6" s="14"/>
      <c r="BI6" s="15">
        <f>SUM(BI7:BI500)</f>
        <v>0</v>
      </c>
      <c r="BJ6" s="15">
        <f>COUNTIF(BJ7:BJ500, "Hard Case")</f>
        <v>0</v>
      </c>
      <c r="BK6" s="68"/>
      <c r="BL6" s="70"/>
      <c r="BM6" s="16">
        <f>SUM(BM7:BM500)</f>
        <v>110</v>
      </c>
      <c r="BN6" s="17" t="s">
        <v>35</v>
      </c>
      <c r="BO6" s="17" t="s">
        <v>37</v>
      </c>
      <c r="BP6" s="10" t="s">
        <v>36</v>
      </c>
      <c r="BR6" s="19"/>
      <c r="BT6" s="14"/>
      <c r="BU6" s="15">
        <f>SUM(BU7:BU500)</f>
        <v>0</v>
      </c>
      <c r="BV6" s="15">
        <f>COUNTIF(BV7:BV500, "Hard Case")</f>
        <v>7</v>
      </c>
      <c r="BW6" s="68"/>
      <c r="BX6" s="70"/>
      <c r="BY6" s="16">
        <f>SUM(BY7:BY500)</f>
        <v>10756</v>
      </c>
      <c r="BZ6" s="17" t="s">
        <v>35</v>
      </c>
      <c r="CA6" s="17" t="s">
        <v>37</v>
      </c>
      <c r="CB6" s="10" t="s">
        <v>36</v>
      </c>
      <c r="CD6" s="19"/>
      <c r="CF6" s="14"/>
      <c r="CG6" s="15">
        <f>SUM(CG7:CG500)</f>
        <v>0</v>
      </c>
      <c r="CH6" s="15">
        <f>COUNTIF(CH7:CH500, "Hard Case")</f>
        <v>0</v>
      </c>
      <c r="CI6" s="68"/>
      <c r="CJ6" s="70"/>
      <c r="CK6" s="16">
        <f>SUM(CK7:CK500)</f>
        <v>813</v>
      </c>
      <c r="CL6" s="17" t="s">
        <v>35</v>
      </c>
      <c r="CM6" s="17" t="s">
        <v>37</v>
      </c>
      <c r="CN6" s="10" t="s">
        <v>36</v>
      </c>
      <c r="CP6" s="19"/>
      <c r="CR6" s="14"/>
      <c r="CS6" s="15">
        <f>SUM(CS7:CS500)</f>
        <v>0</v>
      </c>
      <c r="CT6" s="15">
        <f>COUNTIF(CT7:CT500, "Hard Case")</f>
        <v>0</v>
      </c>
      <c r="CU6" s="68"/>
      <c r="CV6" s="70"/>
      <c r="CW6" s="16">
        <f>SUM(CW7:CW500)</f>
        <v>95</v>
      </c>
      <c r="CX6" s="17" t="s">
        <v>35</v>
      </c>
      <c r="CY6" s="17" t="s">
        <v>37</v>
      </c>
      <c r="CZ6" s="10" t="s">
        <v>36</v>
      </c>
      <c r="DB6" s="19"/>
      <c r="DD6" s="14"/>
      <c r="DE6" s="15">
        <f>SUM(DE7:DE500)</f>
        <v>0</v>
      </c>
      <c r="DF6" s="15">
        <f>COUNTIF(DF7:DF500, "Hard Case")</f>
        <v>0</v>
      </c>
      <c r="DG6" s="68"/>
      <c r="DH6" s="70"/>
      <c r="DI6" s="16">
        <f>SUM(DI7:DI500)</f>
        <v>246</v>
      </c>
      <c r="DJ6" s="17" t="s">
        <v>35</v>
      </c>
      <c r="DK6" s="17" t="s">
        <v>37</v>
      </c>
      <c r="DL6" s="10" t="s">
        <v>36</v>
      </c>
      <c r="DN6" s="19"/>
      <c r="DP6" s="14"/>
      <c r="DQ6" s="15">
        <f>SUM(DQ7:DQ500)</f>
        <v>0</v>
      </c>
      <c r="DR6" s="15">
        <f>COUNTIF(DR7:DR500, "Hard Case")</f>
        <v>0</v>
      </c>
      <c r="DS6" s="68"/>
      <c r="DT6" s="70"/>
      <c r="DU6" s="16">
        <f>SUM(DU7:DU500)</f>
        <v>1723</v>
      </c>
      <c r="DV6" s="17" t="s">
        <v>35</v>
      </c>
      <c r="DW6" s="17" t="s">
        <v>37</v>
      </c>
      <c r="DX6" s="10" t="s">
        <v>36</v>
      </c>
      <c r="DZ6" s="19"/>
      <c r="EB6" s="14"/>
      <c r="EC6" s="15">
        <f>SUM(EC7:EC500)</f>
        <v>0</v>
      </c>
      <c r="ED6" s="15">
        <f>COUNTIF(ED7:ED500, "Hard Case")</f>
        <v>1</v>
      </c>
      <c r="EE6" s="68"/>
      <c r="EF6" s="70"/>
      <c r="EG6" s="16">
        <f>SUM(EG7:EG500)</f>
        <v>30</v>
      </c>
      <c r="EH6" s="17" t="s">
        <v>35</v>
      </c>
      <c r="EI6" s="17" t="s">
        <v>37</v>
      </c>
      <c r="EJ6" s="10" t="s">
        <v>36</v>
      </c>
      <c r="EL6" s="19"/>
      <c r="EN6" s="14"/>
      <c r="EO6" s="15">
        <f>SUM(EO7:EO500)</f>
        <v>0</v>
      </c>
      <c r="EP6" s="15">
        <f>COUNTIF(EP7:EP500, "Hard Case")</f>
        <v>1</v>
      </c>
      <c r="EQ6" s="68"/>
      <c r="ER6" s="70"/>
      <c r="ES6" s="16">
        <f>SUM(ES7:ES500)</f>
        <v>3520</v>
      </c>
      <c r="ET6" s="17" t="s">
        <v>35</v>
      </c>
      <c r="EU6" s="17" t="s">
        <v>37</v>
      </c>
      <c r="EV6" s="10" t="s">
        <v>36</v>
      </c>
      <c r="EX6" s="19"/>
      <c r="EZ6" s="14"/>
      <c r="FA6" s="15">
        <f>SUM(FA7:FA500)</f>
        <v>0</v>
      </c>
      <c r="FB6" s="15">
        <f>COUNTIF(FB7:FB500, "Hard Case")</f>
        <v>1</v>
      </c>
      <c r="FC6" s="68"/>
      <c r="FD6" s="70"/>
      <c r="FE6" s="16">
        <f>SUM(FE7:FE500)</f>
        <v>30</v>
      </c>
      <c r="FF6" s="17" t="s">
        <v>35</v>
      </c>
      <c r="FG6" s="17" t="s">
        <v>37</v>
      </c>
      <c r="FH6" s="10" t="s">
        <v>36</v>
      </c>
      <c r="FJ6" s="19"/>
      <c r="FL6" s="14"/>
      <c r="FM6" s="15">
        <f>SUM(FM7:FM500)</f>
        <v>0</v>
      </c>
      <c r="FN6" s="15">
        <f>COUNTIF(FN7:FN500, "Hard Case")</f>
        <v>0</v>
      </c>
      <c r="FO6" s="68"/>
      <c r="FP6" s="70"/>
      <c r="FQ6" s="16">
        <f>SUM(FQ7:FQ500)</f>
        <v>176</v>
      </c>
      <c r="FR6" s="17" t="s">
        <v>35</v>
      </c>
      <c r="FS6" s="17" t="s">
        <v>37</v>
      </c>
      <c r="FT6" s="10" t="s">
        <v>36</v>
      </c>
      <c r="FV6" s="19"/>
      <c r="FX6" s="14"/>
      <c r="FY6" s="15">
        <f>SUM(FY7:FY500)</f>
        <v>0</v>
      </c>
      <c r="FZ6" s="15">
        <f>COUNTIF(FZ7:FZ500, "Hard Case")</f>
        <v>0</v>
      </c>
      <c r="GA6" s="68"/>
      <c r="GB6" s="70"/>
      <c r="GC6" s="16">
        <f>SUM(GC7:GC500)</f>
        <v>1155</v>
      </c>
      <c r="GD6" s="17" t="s">
        <v>35</v>
      </c>
      <c r="GE6" s="17" t="s">
        <v>37</v>
      </c>
      <c r="GF6" s="10" t="s">
        <v>36</v>
      </c>
      <c r="GH6" s="19"/>
      <c r="GJ6" s="14"/>
      <c r="GK6" s="15">
        <f>SUM(GK7:GK500)</f>
        <v>0</v>
      </c>
      <c r="GL6" s="15">
        <f>COUNTIF(GL7:GL500, "Hard Case")</f>
        <v>3</v>
      </c>
      <c r="GM6" s="68"/>
      <c r="GN6" s="70"/>
      <c r="GO6" s="16">
        <f>SUM(GO7:GO500)</f>
        <v>800</v>
      </c>
      <c r="GP6" s="17" t="s">
        <v>35</v>
      </c>
      <c r="GQ6" s="17" t="s">
        <v>37</v>
      </c>
      <c r="GR6" s="10" t="s">
        <v>36</v>
      </c>
      <c r="GT6" s="19"/>
      <c r="GV6" s="14"/>
      <c r="GW6" s="15">
        <f>SUM(GW7:GW500)</f>
        <v>0</v>
      </c>
      <c r="GX6" s="15">
        <f>COUNTIF(GX7:GX500, "Hard Case")</f>
        <v>5</v>
      </c>
      <c r="GY6" s="68"/>
      <c r="GZ6" s="70"/>
      <c r="HA6" s="16">
        <f>SUM(HA7:HA500)</f>
        <v>2040</v>
      </c>
      <c r="HB6" s="17" t="s">
        <v>35</v>
      </c>
      <c r="HC6" s="17" t="s">
        <v>37</v>
      </c>
      <c r="HD6" s="10" t="s">
        <v>36</v>
      </c>
      <c r="HF6" s="19"/>
      <c r="HH6" s="14"/>
      <c r="HI6" s="15">
        <f>SUM(HI7:HI500)</f>
        <v>0</v>
      </c>
      <c r="HJ6" s="15">
        <f>COUNTIF(HJ7:HJ500, "Hard Case")</f>
        <v>0</v>
      </c>
      <c r="HK6" s="68"/>
      <c r="HL6" s="70"/>
      <c r="HM6" s="16">
        <f>SUM(HM7:HM500)</f>
        <v>1405</v>
      </c>
      <c r="HN6" s="17" t="s">
        <v>35</v>
      </c>
      <c r="HO6" s="17" t="s">
        <v>37</v>
      </c>
      <c r="HP6" s="10" t="s">
        <v>36</v>
      </c>
      <c r="HR6" s="19"/>
      <c r="HT6" s="14"/>
      <c r="HU6" s="15">
        <f>SUM(HU7:HU500)</f>
        <v>0</v>
      </c>
      <c r="HV6" s="15">
        <f>COUNTIF(HV7:HV500, "Hard Case")</f>
        <v>0</v>
      </c>
      <c r="HW6" s="68"/>
      <c r="HX6" s="70"/>
      <c r="HY6" s="16">
        <f>SUM(HY7:HY500)</f>
        <v>3594</v>
      </c>
      <c r="HZ6" s="17" t="s">
        <v>35</v>
      </c>
      <c r="IA6" s="17" t="s">
        <v>37</v>
      </c>
      <c r="IB6" s="10" t="s">
        <v>36</v>
      </c>
      <c r="ID6" s="19"/>
      <c r="IF6" s="14"/>
      <c r="IG6" s="15">
        <f>SUM(IG7:IG500)</f>
        <v>0</v>
      </c>
      <c r="IH6" s="15">
        <f>COUNTIF(IH7:IH500, "Hard Case")</f>
        <v>0</v>
      </c>
      <c r="II6" s="68"/>
      <c r="IJ6" s="70"/>
      <c r="IK6" s="16">
        <f>SUM(IK7:IK500)</f>
        <v>17785</v>
      </c>
      <c r="IL6" s="17" t="s">
        <v>35</v>
      </c>
      <c r="IM6" s="17" t="s">
        <v>37</v>
      </c>
      <c r="IN6" s="10" t="s">
        <v>36</v>
      </c>
      <c r="IP6" s="19"/>
      <c r="IR6" s="14"/>
      <c r="IS6" s="15">
        <f>SUM(IS7:IS500)</f>
        <v>0</v>
      </c>
      <c r="IT6" s="15">
        <f>COUNTIF(IT7:IT500, "Hard Case")</f>
        <v>7</v>
      </c>
      <c r="IU6" s="68"/>
      <c r="IV6" s="70"/>
      <c r="IW6" s="16">
        <f>SUM(IW7:IW500)</f>
        <v>46490</v>
      </c>
      <c r="IX6" s="17" t="s">
        <v>35</v>
      </c>
      <c r="IY6" s="17" t="s">
        <v>37</v>
      </c>
      <c r="IZ6" s="10" t="s">
        <v>36</v>
      </c>
      <c r="JB6" s="19"/>
      <c r="JD6" s="14"/>
      <c r="JE6" s="15">
        <f>SUM(JE7:JE500)</f>
        <v>0</v>
      </c>
      <c r="JF6" s="15">
        <f>COUNTIF(JF7:JF500, "Hard Case")</f>
        <v>0</v>
      </c>
      <c r="JG6" s="68"/>
      <c r="JH6" s="70"/>
      <c r="JI6" s="16">
        <f>SUM(JI7:JI500)</f>
        <v>8800</v>
      </c>
      <c r="JJ6" s="17" t="s">
        <v>35</v>
      </c>
      <c r="JK6" s="17" t="s">
        <v>37</v>
      </c>
      <c r="JL6" s="10" t="s">
        <v>36</v>
      </c>
      <c r="JN6" s="19"/>
      <c r="JP6" s="14"/>
      <c r="JQ6" s="15">
        <f>SUM(JQ7:JQ500)</f>
        <v>0</v>
      </c>
      <c r="JR6" s="15">
        <f>COUNTIF(JR7:JR500, "Hard Case")</f>
        <v>0</v>
      </c>
      <c r="JS6" s="68"/>
      <c r="JT6" s="70"/>
      <c r="JU6" s="16">
        <f>SUM(JU7:JU500)</f>
        <v>4783</v>
      </c>
      <c r="JV6" s="17" t="s">
        <v>35</v>
      </c>
      <c r="JW6" s="17" t="s">
        <v>37</v>
      </c>
      <c r="JX6" s="10" t="s">
        <v>36</v>
      </c>
      <c r="JZ6" s="19"/>
      <c r="KB6" s="14"/>
      <c r="KC6" s="15">
        <f>SUM(KC7:KC500)</f>
        <v>0</v>
      </c>
      <c r="KD6" s="15">
        <f>COUNTIF(KD7:KD500, "Hard Case")</f>
        <v>3</v>
      </c>
      <c r="KE6" s="68"/>
      <c r="KF6" s="70"/>
      <c r="KG6" s="16">
        <f>SUM(KG7:KG500)</f>
        <v>72810</v>
      </c>
      <c r="KH6" s="17" t="s">
        <v>35</v>
      </c>
      <c r="KI6" s="17" t="s">
        <v>37</v>
      </c>
      <c r="KJ6" s="10" t="s">
        <v>36</v>
      </c>
      <c r="KL6" s="19"/>
      <c r="KN6" s="14"/>
      <c r="KO6" s="15">
        <f>SUM(KO7:KO500)</f>
        <v>0</v>
      </c>
      <c r="KP6" s="15">
        <f>COUNTIF(KP7:KP500, "Hard Case")</f>
        <v>8</v>
      </c>
      <c r="KQ6" s="68"/>
      <c r="KR6" s="70"/>
      <c r="KS6" s="16">
        <f>SUM(KS7:KS500)</f>
        <v>80775</v>
      </c>
      <c r="KT6" s="17" t="s">
        <v>35</v>
      </c>
      <c r="KU6" s="17" t="s">
        <v>37</v>
      </c>
      <c r="KV6" s="10" t="s">
        <v>36</v>
      </c>
      <c r="KX6" s="19"/>
      <c r="KZ6" s="14"/>
      <c r="LA6" s="15">
        <f>SUM(LA7:LA500)</f>
        <v>0</v>
      </c>
      <c r="LB6" s="15">
        <f>COUNTIF(LB7:LB500, "Hard Case")</f>
        <v>3</v>
      </c>
      <c r="LC6" s="68"/>
      <c r="LD6" s="70"/>
      <c r="LE6" s="16">
        <f>SUM(LE7:LE500)</f>
        <v>2388100</v>
      </c>
      <c r="LF6" s="17" t="s">
        <v>35</v>
      </c>
      <c r="LG6" s="17" t="s">
        <v>37</v>
      </c>
      <c r="LH6" s="10" t="s">
        <v>36</v>
      </c>
      <c r="LJ6" s="19"/>
      <c r="LL6" s="14"/>
      <c r="LM6" s="15">
        <f>SUM(LM7:LM500)</f>
        <v>0</v>
      </c>
      <c r="LN6" s="15">
        <f>COUNTIF(LN7:LN500, "Hard Case")</f>
        <v>1</v>
      </c>
      <c r="LO6" s="68"/>
      <c r="LP6" s="70"/>
      <c r="LQ6" s="16">
        <f>SUM(LQ7:LQ500)</f>
        <v>257350</v>
      </c>
      <c r="LR6" s="17" t="s">
        <v>35</v>
      </c>
      <c r="LS6" s="17" t="s">
        <v>37</v>
      </c>
      <c r="LT6" s="10" t="s">
        <v>36</v>
      </c>
      <c r="LV6" s="19"/>
    </row>
    <row r="7" spans="1:420" ht="135" customHeight="1">
      <c r="A7" s="20">
        <v>1</v>
      </c>
      <c r="B7" s="21">
        <v>0</v>
      </c>
      <c r="C7" s="22" t="s">
        <v>38</v>
      </c>
      <c r="D7" s="23" t="s">
        <v>55</v>
      </c>
      <c r="E7" s="22" t="s">
        <v>42</v>
      </c>
      <c r="F7" s="25">
        <v>1000</v>
      </c>
      <c r="G7" s="25" t="s">
        <v>326</v>
      </c>
      <c r="H7" s="26" t="s">
        <v>197</v>
      </c>
      <c r="I7" s="27"/>
      <c r="J7" s="28" t="s">
        <v>198</v>
      </c>
      <c r="L7" s="20">
        <v>1</v>
      </c>
      <c r="M7" s="21">
        <v>0</v>
      </c>
      <c r="N7" s="22" t="s">
        <v>38</v>
      </c>
      <c r="O7" s="23" t="s">
        <v>39</v>
      </c>
      <c r="P7" s="22" t="s">
        <v>42</v>
      </c>
      <c r="Q7" s="25">
        <v>6500</v>
      </c>
      <c r="R7" s="25" t="s">
        <v>43</v>
      </c>
      <c r="S7" s="29" t="s">
        <v>40</v>
      </c>
      <c r="T7" s="29"/>
      <c r="U7" s="27"/>
      <c r="V7" s="28" t="s">
        <v>44</v>
      </c>
      <c r="X7" s="20">
        <v>1</v>
      </c>
      <c r="Y7" s="21">
        <v>0</v>
      </c>
      <c r="Z7" s="22" t="s">
        <v>45</v>
      </c>
      <c r="AA7" s="23" t="s">
        <v>39</v>
      </c>
      <c r="AB7" s="22" t="s">
        <v>42</v>
      </c>
      <c r="AC7" s="25">
        <v>650</v>
      </c>
      <c r="AD7" s="25" t="s">
        <v>312</v>
      </c>
      <c r="AE7" s="26" t="s">
        <v>40</v>
      </c>
      <c r="AF7" s="26"/>
      <c r="AG7" s="27"/>
      <c r="AH7" s="28" t="s">
        <v>46</v>
      </c>
      <c r="AJ7" s="20">
        <v>1</v>
      </c>
      <c r="AK7" s="21">
        <v>0</v>
      </c>
      <c r="AL7" s="22" t="s">
        <v>45</v>
      </c>
      <c r="AM7" s="23" t="s">
        <v>39</v>
      </c>
      <c r="AN7" s="22" t="s">
        <v>42</v>
      </c>
      <c r="AO7" s="25">
        <v>350</v>
      </c>
      <c r="AP7" s="25" t="s">
        <v>312</v>
      </c>
      <c r="AQ7" s="26" t="s">
        <v>40</v>
      </c>
      <c r="AR7" s="26"/>
      <c r="AS7" s="27"/>
      <c r="AT7" s="28" t="s">
        <v>47</v>
      </c>
      <c r="AV7" s="20">
        <v>1</v>
      </c>
      <c r="AW7" s="21">
        <v>0</v>
      </c>
      <c r="AX7" s="22" t="s">
        <v>45</v>
      </c>
      <c r="AY7" s="23" t="s">
        <v>39</v>
      </c>
      <c r="AZ7" s="22" t="s">
        <v>42</v>
      </c>
      <c r="BA7" s="25">
        <v>110</v>
      </c>
      <c r="BB7" s="25" t="s">
        <v>312</v>
      </c>
      <c r="BC7" s="26" t="s">
        <v>40</v>
      </c>
      <c r="BD7" s="26"/>
      <c r="BE7" s="27"/>
      <c r="BF7" s="28" t="s">
        <v>48</v>
      </c>
      <c r="BH7" s="20">
        <v>1</v>
      </c>
      <c r="BI7" s="21">
        <v>0</v>
      </c>
      <c r="BJ7" s="22" t="s">
        <v>45</v>
      </c>
      <c r="BK7" s="23" t="s">
        <v>39</v>
      </c>
      <c r="BL7" s="22" t="s">
        <v>42</v>
      </c>
      <c r="BM7" s="25">
        <v>30</v>
      </c>
      <c r="BN7" s="25" t="s">
        <v>312</v>
      </c>
      <c r="BO7" s="26" t="s">
        <v>40</v>
      </c>
      <c r="BP7" s="26"/>
      <c r="BQ7" s="27"/>
      <c r="BR7" s="28" t="s">
        <v>49</v>
      </c>
      <c r="BT7" s="20">
        <v>1</v>
      </c>
      <c r="BU7" s="21">
        <v>0</v>
      </c>
      <c r="BV7" s="22" t="s">
        <v>45</v>
      </c>
      <c r="BW7" s="23" t="s">
        <v>39</v>
      </c>
      <c r="BX7" s="22" t="s">
        <v>42</v>
      </c>
      <c r="BY7" s="25">
        <v>5</v>
      </c>
      <c r="BZ7" s="25" t="s">
        <v>312</v>
      </c>
      <c r="CA7" s="26" t="s">
        <v>40</v>
      </c>
      <c r="CB7" s="26"/>
      <c r="CC7" s="27"/>
      <c r="CD7" s="28" t="s">
        <v>50</v>
      </c>
      <c r="CF7" s="20">
        <v>1</v>
      </c>
      <c r="CG7" s="21">
        <v>0</v>
      </c>
      <c r="CH7" s="22" t="s">
        <v>45</v>
      </c>
      <c r="CI7" s="23" t="s">
        <v>39</v>
      </c>
      <c r="CJ7" s="22" t="s">
        <v>42</v>
      </c>
      <c r="CK7" s="25">
        <v>8</v>
      </c>
      <c r="CL7" s="25" t="s">
        <v>312</v>
      </c>
      <c r="CM7" s="26" t="s">
        <v>40</v>
      </c>
      <c r="CN7" s="26"/>
      <c r="CO7" s="27"/>
      <c r="CP7" s="28" t="s">
        <v>51</v>
      </c>
      <c r="CR7" s="20">
        <v>1</v>
      </c>
      <c r="CS7" s="21">
        <v>0</v>
      </c>
      <c r="CT7" s="22" t="s">
        <v>45</v>
      </c>
      <c r="CU7" s="23" t="s">
        <v>39</v>
      </c>
      <c r="CV7" s="22" t="s">
        <v>42</v>
      </c>
      <c r="CW7" s="25">
        <v>10</v>
      </c>
      <c r="CX7" s="25" t="s">
        <v>312</v>
      </c>
      <c r="CY7" s="26" t="s">
        <v>40</v>
      </c>
      <c r="CZ7" s="26"/>
      <c r="DA7" s="27"/>
      <c r="DB7" s="28" t="s">
        <v>52</v>
      </c>
      <c r="DD7" s="20">
        <v>1</v>
      </c>
      <c r="DE7" s="21">
        <v>0</v>
      </c>
      <c r="DF7" s="22" t="s">
        <v>45</v>
      </c>
      <c r="DG7" s="23" t="s">
        <v>39</v>
      </c>
      <c r="DH7" s="22" t="s">
        <v>42</v>
      </c>
      <c r="DI7" s="25">
        <v>8</v>
      </c>
      <c r="DJ7" s="25" t="s">
        <v>312</v>
      </c>
      <c r="DK7" s="26" t="s">
        <v>40</v>
      </c>
      <c r="DL7" s="26"/>
      <c r="DM7" s="27"/>
      <c r="DN7" s="28" t="s">
        <v>53</v>
      </c>
      <c r="DP7" s="20">
        <v>1</v>
      </c>
      <c r="DQ7" s="21">
        <v>0</v>
      </c>
      <c r="DR7" s="22" t="s">
        <v>45</v>
      </c>
      <c r="DS7" s="23" t="s">
        <v>39</v>
      </c>
      <c r="DT7" s="22" t="s">
        <v>42</v>
      </c>
      <c r="DU7" s="25">
        <v>8</v>
      </c>
      <c r="DV7" s="25" t="s">
        <v>312</v>
      </c>
      <c r="DW7" s="26" t="s">
        <v>40</v>
      </c>
      <c r="DX7" s="30"/>
      <c r="DY7" s="27"/>
      <c r="DZ7" s="28" t="s">
        <v>54</v>
      </c>
      <c r="EB7" s="20">
        <v>1</v>
      </c>
      <c r="EC7" s="21">
        <v>0</v>
      </c>
      <c r="ED7" s="22" t="s">
        <v>38</v>
      </c>
      <c r="EE7" s="23" t="s">
        <v>55</v>
      </c>
      <c r="EF7" s="22" t="s">
        <v>42</v>
      </c>
      <c r="EG7" s="25">
        <v>30</v>
      </c>
      <c r="EH7" s="25" t="s">
        <v>56</v>
      </c>
      <c r="EI7" s="26" t="s">
        <v>40</v>
      </c>
      <c r="EJ7" s="26" t="s">
        <v>40</v>
      </c>
      <c r="EK7" s="27"/>
      <c r="EL7" s="28" t="s">
        <v>57</v>
      </c>
      <c r="EN7" s="20">
        <v>1</v>
      </c>
      <c r="EO7" s="21">
        <v>0</v>
      </c>
      <c r="EP7" s="22" t="s">
        <v>45</v>
      </c>
      <c r="EQ7" s="23" t="s">
        <v>39</v>
      </c>
      <c r="ER7" s="22" t="s">
        <v>42</v>
      </c>
      <c r="ES7" s="25">
        <v>20</v>
      </c>
      <c r="ET7" s="25" t="s">
        <v>312</v>
      </c>
      <c r="EU7" s="26" t="s">
        <v>40</v>
      </c>
      <c r="EV7" s="26"/>
      <c r="EW7" s="31"/>
      <c r="EX7" s="28" t="s">
        <v>58</v>
      </c>
      <c r="EZ7" s="20">
        <v>1</v>
      </c>
      <c r="FA7" s="21">
        <v>0</v>
      </c>
      <c r="FB7" s="22" t="s">
        <v>38</v>
      </c>
      <c r="FC7" s="23" t="s">
        <v>39</v>
      </c>
      <c r="FD7" s="32" t="s">
        <v>59</v>
      </c>
      <c r="FE7" s="25">
        <v>30</v>
      </c>
      <c r="FF7" s="25" t="s">
        <v>60</v>
      </c>
      <c r="FG7" s="26" t="s">
        <v>40</v>
      </c>
      <c r="FH7" s="26"/>
      <c r="FI7" s="27"/>
      <c r="FJ7" s="33" t="s">
        <v>61</v>
      </c>
      <c r="FL7" s="20">
        <v>1</v>
      </c>
      <c r="FM7" s="21">
        <v>0</v>
      </c>
      <c r="FN7" s="22" t="s">
        <v>45</v>
      </c>
      <c r="FO7" s="23" t="s">
        <v>39</v>
      </c>
      <c r="FP7" s="22" t="s">
        <v>42</v>
      </c>
      <c r="FQ7" s="25">
        <v>8</v>
      </c>
      <c r="FR7" s="25" t="s">
        <v>312</v>
      </c>
      <c r="FS7" s="26" t="s">
        <v>40</v>
      </c>
      <c r="FT7" s="26"/>
      <c r="FU7" s="27"/>
      <c r="FV7" s="28" t="s">
        <v>62</v>
      </c>
      <c r="FX7" s="20">
        <v>1</v>
      </c>
      <c r="FY7" s="21">
        <v>0</v>
      </c>
      <c r="FZ7" s="22" t="s">
        <v>45</v>
      </c>
      <c r="GA7" s="23" t="s">
        <v>39</v>
      </c>
      <c r="GB7" s="22" t="s">
        <v>42</v>
      </c>
      <c r="GC7" s="25">
        <v>15</v>
      </c>
      <c r="GD7" s="25" t="s">
        <v>312</v>
      </c>
      <c r="GE7" s="26" t="s">
        <v>40</v>
      </c>
      <c r="GF7" s="26"/>
      <c r="GG7" s="27"/>
      <c r="GH7" s="28" t="s">
        <v>63</v>
      </c>
      <c r="GJ7" s="20">
        <v>1</v>
      </c>
      <c r="GK7" s="21">
        <v>0</v>
      </c>
      <c r="GL7" s="22" t="s">
        <v>38</v>
      </c>
      <c r="GM7" s="23" t="s">
        <v>55</v>
      </c>
      <c r="GN7" s="22" t="s">
        <v>42</v>
      </c>
      <c r="GO7" s="25">
        <v>100</v>
      </c>
      <c r="GP7" s="25" t="s">
        <v>56</v>
      </c>
      <c r="GQ7" s="26" t="s">
        <v>40</v>
      </c>
      <c r="GR7" s="26" t="s">
        <v>40</v>
      </c>
      <c r="GS7" s="27"/>
      <c r="GT7" s="28" t="s">
        <v>64</v>
      </c>
      <c r="GV7" s="20">
        <v>1</v>
      </c>
      <c r="GW7" s="21">
        <v>0</v>
      </c>
      <c r="GX7" s="22" t="s">
        <v>38</v>
      </c>
      <c r="GY7" s="23" t="s">
        <v>39</v>
      </c>
      <c r="GZ7" s="32" t="s">
        <v>59</v>
      </c>
      <c r="HA7" s="25">
        <v>20</v>
      </c>
      <c r="HB7" s="25" t="s">
        <v>60</v>
      </c>
      <c r="HC7" s="26" t="s">
        <v>40</v>
      </c>
      <c r="HD7" s="26"/>
      <c r="HE7" s="27"/>
      <c r="HF7" s="28" t="s">
        <v>65</v>
      </c>
      <c r="HH7" s="20">
        <v>1</v>
      </c>
      <c r="HI7" s="21">
        <v>0</v>
      </c>
      <c r="HJ7" s="22" t="s">
        <v>45</v>
      </c>
      <c r="HK7" s="23" t="s">
        <v>39</v>
      </c>
      <c r="HL7" s="22" t="s">
        <v>42</v>
      </c>
      <c r="HM7" s="25">
        <v>50</v>
      </c>
      <c r="HN7" s="25" t="s">
        <v>312</v>
      </c>
      <c r="HO7" s="26" t="s">
        <v>40</v>
      </c>
      <c r="HP7" s="26"/>
      <c r="HQ7" s="27"/>
      <c r="HR7" s="28" t="s">
        <v>66</v>
      </c>
      <c r="HT7" s="20">
        <v>1</v>
      </c>
      <c r="HU7" s="21">
        <v>0</v>
      </c>
      <c r="HV7" s="22" t="s">
        <v>45</v>
      </c>
      <c r="HW7" s="23" t="s">
        <v>39</v>
      </c>
      <c r="HX7" s="22" t="s">
        <v>42</v>
      </c>
      <c r="HY7" s="25">
        <v>8</v>
      </c>
      <c r="HZ7" s="25" t="s">
        <v>312</v>
      </c>
      <c r="IA7" s="26" t="s">
        <v>40</v>
      </c>
      <c r="IB7" s="26"/>
      <c r="IC7" s="27"/>
      <c r="ID7" s="33" t="s">
        <v>67</v>
      </c>
      <c r="IF7" s="20">
        <v>1</v>
      </c>
      <c r="IG7" s="21">
        <v>0</v>
      </c>
      <c r="IH7" s="22" t="s">
        <v>45</v>
      </c>
      <c r="II7" s="23" t="s">
        <v>39</v>
      </c>
      <c r="IJ7" s="22" t="s">
        <v>42</v>
      </c>
      <c r="IK7" s="25">
        <v>15</v>
      </c>
      <c r="IL7" s="25" t="s">
        <v>312</v>
      </c>
      <c r="IM7" s="26" t="s">
        <v>40</v>
      </c>
      <c r="IN7" s="30"/>
      <c r="IO7" s="27"/>
      <c r="IP7" s="28" t="s">
        <v>68</v>
      </c>
      <c r="IR7" s="20">
        <v>1</v>
      </c>
      <c r="IS7" s="21">
        <v>0</v>
      </c>
      <c r="IT7" s="22" t="s">
        <v>38</v>
      </c>
      <c r="IU7" s="23" t="s">
        <v>39</v>
      </c>
      <c r="IV7" s="32" t="s">
        <v>59</v>
      </c>
      <c r="IW7" s="25">
        <v>900</v>
      </c>
      <c r="IX7" s="25" t="s">
        <v>69</v>
      </c>
      <c r="IY7" s="34">
        <f>24*30</f>
        <v>720</v>
      </c>
      <c r="IZ7" s="35">
        <v>1690</v>
      </c>
      <c r="JA7" s="27"/>
      <c r="JB7" s="28" t="s">
        <v>70</v>
      </c>
      <c r="JD7" s="20">
        <v>1</v>
      </c>
      <c r="JE7" s="21">
        <v>0</v>
      </c>
      <c r="JF7" s="22" t="s">
        <v>45</v>
      </c>
      <c r="JG7" s="23" t="s">
        <v>39</v>
      </c>
      <c r="JH7" s="22" t="s">
        <v>42</v>
      </c>
      <c r="JI7" s="25">
        <v>15</v>
      </c>
      <c r="JJ7" s="25" t="s">
        <v>312</v>
      </c>
      <c r="JK7" s="26" t="s">
        <v>40</v>
      </c>
      <c r="JL7" s="30"/>
      <c r="JM7" s="27"/>
      <c r="JN7" s="28" t="s">
        <v>71</v>
      </c>
      <c r="JP7" s="20">
        <v>1</v>
      </c>
      <c r="JQ7" s="21">
        <v>0</v>
      </c>
      <c r="JR7" s="22" t="s">
        <v>45</v>
      </c>
      <c r="JS7" s="23" t="s">
        <v>39</v>
      </c>
      <c r="JT7" s="22" t="s">
        <v>42</v>
      </c>
      <c r="JU7" s="25">
        <v>8</v>
      </c>
      <c r="JV7" s="25" t="s">
        <v>312</v>
      </c>
      <c r="JW7" s="26" t="s">
        <v>40</v>
      </c>
      <c r="JX7" s="26"/>
      <c r="JY7" s="27"/>
      <c r="JZ7" s="28" t="s">
        <v>72</v>
      </c>
      <c r="KB7" s="20">
        <v>1</v>
      </c>
      <c r="KC7" s="21">
        <v>0</v>
      </c>
      <c r="KD7" s="22" t="s">
        <v>45</v>
      </c>
      <c r="KE7" s="23" t="s">
        <v>39</v>
      </c>
      <c r="KF7" s="22" t="s">
        <v>42</v>
      </c>
      <c r="KG7" s="25">
        <v>10</v>
      </c>
      <c r="KH7" s="25" t="s">
        <v>312</v>
      </c>
      <c r="KI7" s="26" t="s">
        <v>40</v>
      </c>
      <c r="KJ7" s="30"/>
      <c r="KK7" s="27"/>
      <c r="KL7" s="28" t="s">
        <v>73</v>
      </c>
      <c r="KN7" s="20">
        <v>1</v>
      </c>
      <c r="KO7" s="21">
        <v>0</v>
      </c>
      <c r="KP7" s="22" t="s">
        <v>38</v>
      </c>
      <c r="KQ7" s="23" t="s">
        <v>39</v>
      </c>
      <c r="KR7" s="32" t="s">
        <v>59</v>
      </c>
      <c r="KS7" s="25">
        <v>4000</v>
      </c>
      <c r="KT7" s="25" t="s">
        <v>69</v>
      </c>
      <c r="KU7" s="36"/>
      <c r="KV7" s="36">
        <v>250</v>
      </c>
      <c r="KW7" s="27"/>
      <c r="KX7" s="28" t="s">
        <v>74</v>
      </c>
      <c r="KZ7" s="20">
        <v>1</v>
      </c>
      <c r="LA7" s="21">
        <v>0</v>
      </c>
      <c r="LB7" s="22" t="s">
        <v>45</v>
      </c>
      <c r="LC7" s="23" t="s">
        <v>39</v>
      </c>
      <c r="LD7" s="22" t="s">
        <v>42</v>
      </c>
      <c r="LE7" s="25">
        <v>100</v>
      </c>
      <c r="LF7" s="25" t="s">
        <v>40</v>
      </c>
      <c r="LG7" s="26" t="s">
        <v>40</v>
      </c>
      <c r="LH7" s="30" t="s">
        <v>40</v>
      </c>
      <c r="LI7" s="27"/>
      <c r="LJ7" s="28" t="s">
        <v>75</v>
      </c>
      <c r="LL7" s="20">
        <v>1</v>
      </c>
      <c r="LM7" s="21">
        <v>0</v>
      </c>
      <c r="LN7" s="22" t="s">
        <v>45</v>
      </c>
      <c r="LO7" s="23" t="s">
        <v>39</v>
      </c>
      <c r="LP7" s="22" t="s">
        <v>42</v>
      </c>
      <c r="LQ7" s="25">
        <v>50</v>
      </c>
      <c r="LR7" s="25" t="s">
        <v>312</v>
      </c>
      <c r="LS7" s="26" t="s">
        <v>40</v>
      </c>
      <c r="LT7" s="30" t="s">
        <v>40</v>
      </c>
      <c r="LU7" s="27"/>
      <c r="LV7" s="28" t="s">
        <v>76</v>
      </c>
    </row>
    <row r="8" spans="1:420" ht="135" customHeight="1">
      <c r="L8" s="20">
        <f>L7+1</f>
        <v>2</v>
      </c>
      <c r="M8" s="21">
        <v>0</v>
      </c>
      <c r="N8" s="22" t="s">
        <v>38</v>
      </c>
      <c r="O8" s="23" t="s">
        <v>39</v>
      </c>
      <c r="P8" s="22" t="s">
        <v>42</v>
      </c>
      <c r="Q8" s="25">
        <v>1600</v>
      </c>
      <c r="R8" s="25" t="s">
        <v>43</v>
      </c>
      <c r="S8" s="34">
        <v>11</v>
      </c>
      <c r="T8" s="29"/>
      <c r="U8" s="27"/>
      <c r="V8" s="28" t="s">
        <v>78</v>
      </c>
      <c r="X8" s="20">
        <f>X7+1</f>
        <v>2</v>
      </c>
      <c r="Y8" s="21">
        <v>0</v>
      </c>
      <c r="Z8" s="22" t="s">
        <v>45</v>
      </c>
      <c r="AA8" s="23" t="s">
        <v>39</v>
      </c>
      <c r="AB8" s="22" t="s">
        <v>42</v>
      </c>
      <c r="AC8" s="25">
        <v>350</v>
      </c>
      <c r="AD8" s="25" t="s">
        <v>312</v>
      </c>
      <c r="AE8" s="34">
        <v>11</v>
      </c>
      <c r="AF8" s="26"/>
      <c r="AG8" s="27"/>
      <c r="AH8" s="28" t="s">
        <v>79</v>
      </c>
      <c r="AJ8" s="20">
        <f>AJ7+1</f>
        <v>2</v>
      </c>
      <c r="AK8" s="21">
        <v>0</v>
      </c>
      <c r="AL8" s="22" t="s">
        <v>45</v>
      </c>
      <c r="AM8" s="23" t="s">
        <v>39</v>
      </c>
      <c r="AN8" s="22" t="s">
        <v>42</v>
      </c>
      <c r="AO8" s="25">
        <v>250</v>
      </c>
      <c r="AP8" s="25" t="s">
        <v>312</v>
      </c>
      <c r="AQ8" s="26" t="s">
        <v>40</v>
      </c>
      <c r="AR8" s="26"/>
      <c r="AS8" s="27"/>
      <c r="AT8" s="28" t="s">
        <v>80</v>
      </c>
      <c r="AV8" s="20">
        <f>AV7+1</f>
        <v>2</v>
      </c>
      <c r="AW8" s="21">
        <v>0</v>
      </c>
      <c r="AX8" s="22" t="s">
        <v>45</v>
      </c>
      <c r="AY8" s="23" t="s">
        <v>39</v>
      </c>
      <c r="AZ8" s="22" t="s">
        <v>42</v>
      </c>
      <c r="BA8" s="25">
        <v>50</v>
      </c>
      <c r="BB8" s="25" t="s">
        <v>312</v>
      </c>
      <c r="BC8" s="34">
        <v>11</v>
      </c>
      <c r="BD8" s="26"/>
      <c r="BE8" s="27"/>
      <c r="BF8" s="28" t="s">
        <v>81</v>
      </c>
      <c r="BH8" s="20">
        <f>BH7+1</f>
        <v>2</v>
      </c>
      <c r="BI8" s="21">
        <v>0</v>
      </c>
      <c r="BJ8" s="22" t="s">
        <v>45</v>
      </c>
      <c r="BK8" s="23" t="s">
        <v>39</v>
      </c>
      <c r="BL8" s="22" t="s">
        <v>42</v>
      </c>
      <c r="BM8" s="25">
        <v>30</v>
      </c>
      <c r="BN8" s="25" t="s">
        <v>312</v>
      </c>
      <c r="BO8" s="26" t="s">
        <v>40</v>
      </c>
      <c r="BP8" s="26"/>
      <c r="BQ8" s="27"/>
      <c r="BR8" s="28" t="s">
        <v>82</v>
      </c>
      <c r="BT8" s="20">
        <f t="shared" ref="BT8:BT23" si="0">BT7+1</f>
        <v>2</v>
      </c>
      <c r="BU8" s="21">
        <v>0</v>
      </c>
      <c r="BV8" s="22" t="s">
        <v>45</v>
      </c>
      <c r="BW8" s="23" t="s">
        <v>39</v>
      </c>
      <c r="BX8" s="22" t="s">
        <v>42</v>
      </c>
      <c r="BY8" s="25">
        <v>110</v>
      </c>
      <c r="BZ8" s="25" t="s">
        <v>312</v>
      </c>
      <c r="CA8" s="26" t="s">
        <v>40</v>
      </c>
      <c r="CB8" s="26"/>
      <c r="CC8" s="27"/>
      <c r="CD8" s="28" t="s">
        <v>83</v>
      </c>
      <c r="CF8" s="20">
        <f t="shared" ref="CF8:CF18" si="1">CF7+1</f>
        <v>2</v>
      </c>
      <c r="CG8" s="21">
        <v>0</v>
      </c>
      <c r="CH8" s="22" t="s">
        <v>45</v>
      </c>
      <c r="CI8" s="23" t="s">
        <v>39</v>
      </c>
      <c r="CJ8" s="22" t="s">
        <v>84</v>
      </c>
      <c r="CK8" s="25">
        <v>50</v>
      </c>
      <c r="CL8" s="25" t="s">
        <v>312</v>
      </c>
      <c r="CM8" s="26" t="s">
        <v>40</v>
      </c>
      <c r="CN8" s="26"/>
      <c r="CO8" s="27"/>
      <c r="CP8" s="28" t="s">
        <v>85</v>
      </c>
      <c r="CR8" s="20">
        <f>CR7+1</f>
        <v>2</v>
      </c>
      <c r="CS8" s="21">
        <v>0</v>
      </c>
      <c r="CT8" s="22" t="s">
        <v>45</v>
      </c>
      <c r="CU8" s="23" t="s">
        <v>39</v>
      </c>
      <c r="CV8" s="22" t="s">
        <v>42</v>
      </c>
      <c r="CW8" s="25">
        <v>5</v>
      </c>
      <c r="CX8" s="25" t="s">
        <v>312</v>
      </c>
      <c r="CY8" s="26" t="s">
        <v>40</v>
      </c>
      <c r="CZ8" s="26"/>
      <c r="DA8" s="27"/>
      <c r="DB8" s="28" t="s">
        <v>86</v>
      </c>
      <c r="DD8" s="20">
        <f>DD7+1</f>
        <v>2</v>
      </c>
      <c r="DE8" s="21">
        <v>0</v>
      </c>
      <c r="DF8" s="22" t="s">
        <v>45</v>
      </c>
      <c r="DG8" s="23" t="s">
        <v>39</v>
      </c>
      <c r="DH8" s="22" t="s">
        <v>42</v>
      </c>
      <c r="DI8" s="25">
        <v>8</v>
      </c>
      <c r="DJ8" s="25" t="s">
        <v>312</v>
      </c>
      <c r="DK8" s="26" t="s">
        <v>40</v>
      </c>
      <c r="DL8" s="26"/>
      <c r="DM8" s="27"/>
      <c r="DN8" s="28" t="s">
        <v>87</v>
      </c>
      <c r="DP8" s="20">
        <f t="shared" ref="DP8:DP13" si="2">DP7+1</f>
        <v>2</v>
      </c>
      <c r="DQ8" s="21">
        <v>0</v>
      </c>
      <c r="DR8" s="22" t="s">
        <v>45</v>
      </c>
      <c r="DS8" s="23" t="s">
        <v>39</v>
      </c>
      <c r="DT8" s="22" t="s">
        <v>42</v>
      </c>
      <c r="DU8" s="25">
        <v>250</v>
      </c>
      <c r="DV8" s="25" t="s">
        <v>312</v>
      </c>
      <c r="DW8" s="34">
        <f>24*10</f>
        <v>240</v>
      </c>
      <c r="DX8" s="35">
        <v>15000</v>
      </c>
      <c r="DY8" s="27"/>
      <c r="DZ8" s="28" t="s">
        <v>88</v>
      </c>
      <c r="EB8" s="37"/>
      <c r="EC8" s="38"/>
      <c r="ED8" s="38"/>
      <c r="EE8" s="38"/>
      <c r="EF8" s="38"/>
      <c r="EG8" s="18"/>
      <c r="EH8" s="18"/>
      <c r="EI8" s="18"/>
      <c r="EJ8" s="18"/>
      <c r="EN8" s="20">
        <f t="shared" ref="EN8" si="3">EN7+1</f>
        <v>2</v>
      </c>
      <c r="EO8" s="21">
        <v>0</v>
      </c>
      <c r="EP8" s="22" t="s">
        <v>38</v>
      </c>
      <c r="EQ8" s="23" t="s">
        <v>39</v>
      </c>
      <c r="ER8" s="22" t="s">
        <v>42</v>
      </c>
      <c r="ES8" s="25">
        <v>3500</v>
      </c>
      <c r="ET8" s="25" t="s">
        <v>69</v>
      </c>
      <c r="EU8" s="25"/>
      <c r="EV8" s="26" t="s">
        <v>89</v>
      </c>
      <c r="EW8" s="27"/>
      <c r="EX8" s="28" t="s">
        <v>90</v>
      </c>
      <c r="EZ8" s="37"/>
      <c r="FA8" s="38"/>
      <c r="FB8" s="38"/>
      <c r="FC8" s="38"/>
      <c r="FD8" s="38"/>
      <c r="FE8" s="18"/>
      <c r="FF8" s="18"/>
      <c r="FG8" s="18"/>
      <c r="FH8" s="18"/>
      <c r="FL8" s="20">
        <f t="shared" ref="FL8:FL13" si="4">FL7+1</f>
        <v>2</v>
      </c>
      <c r="FM8" s="21">
        <v>0</v>
      </c>
      <c r="FN8" s="22" t="s">
        <v>45</v>
      </c>
      <c r="FO8" s="23" t="s">
        <v>39</v>
      </c>
      <c r="FP8" s="22" t="s">
        <v>42</v>
      </c>
      <c r="FQ8" s="25">
        <v>8</v>
      </c>
      <c r="FR8" s="25" t="s">
        <v>312</v>
      </c>
      <c r="FS8" s="26" t="s">
        <v>40</v>
      </c>
      <c r="FT8" s="26"/>
      <c r="FU8" s="27"/>
      <c r="FV8" s="28" t="s">
        <v>91</v>
      </c>
      <c r="FX8" s="20">
        <f t="shared" ref="FX8:FX16" si="5">FX7+1</f>
        <v>2</v>
      </c>
      <c r="FY8" s="21">
        <v>0</v>
      </c>
      <c r="FZ8" s="22" t="s">
        <v>45</v>
      </c>
      <c r="GA8" s="23" t="s">
        <v>39</v>
      </c>
      <c r="GB8" s="22" t="s">
        <v>42</v>
      </c>
      <c r="GC8" s="25">
        <v>500</v>
      </c>
      <c r="GD8" s="25" t="s">
        <v>312</v>
      </c>
      <c r="GE8" s="34">
        <f>1*200</f>
        <v>200</v>
      </c>
      <c r="GF8" s="34"/>
      <c r="GG8" s="27"/>
      <c r="GH8" s="28" t="s">
        <v>92</v>
      </c>
      <c r="GJ8" s="20">
        <f>GJ7+1</f>
        <v>2</v>
      </c>
      <c r="GK8" s="21">
        <v>0</v>
      </c>
      <c r="GL8" s="22" t="s">
        <v>38</v>
      </c>
      <c r="GM8" s="23" t="s">
        <v>55</v>
      </c>
      <c r="GN8" s="22" t="s">
        <v>42</v>
      </c>
      <c r="GO8" s="25">
        <v>250</v>
      </c>
      <c r="GP8" s="25" t="s">
        <v>56</v>
      </c>
      <c r="GQ8" s="34">
        <f>1*120</f>
        <v>120</v>
      </c>
      <c r="GR8" s="26" t="s">
        <v>40</v>
      </c>
      <c r="GS8" s="27"/>
      <c r="GT8" s="28" t="s">
        <v>93</v>
      </c>
      <c r="GV8" s="20">
        <f>GV7+1</f>
        <v>2</v>
      </c>
      <c r="GW8" s="21">
        <v>0</v>
      </c>
      <c r="GX8" s="22" t="s">
        <v>38</v>
      </c>
      <c r="GY8" s="23" t="s">
        <v>39</v>
      </c>
      <c r="GZ8" s="32" t="s">
        <v>59</v>
      </c>
      <c r="HA8" s="25">
        <v>20</v>
      </c>
      <c r="HB8" s="25" t="s">
        <v>69</v>
      </c>
      <c r="HC8" s="26" t="s">
        <v>40</v>
      </c>
      <c r="HD8" s="26"/>
      <c r="HE8" s="27"/>
      <c r="HF8" s="28" t="s">
        <v>94</v>
      </c>
      <c r="HH8" s="20">
        <f t="shared" ref="HH8:HH13" si="6">HH7+1</f>
        <v>2</v>
      </c>
      <c r="HI8" s="21">
        <v>0</v>
      </c>
      <c r="HJ8" s="22" t="s">
        <v>45</v>
      </c>
      <c r="HK8" s="23" t="s">
        <v>39</v>
      </c>
      <c r="HL8" s="22" t="s">
        <v>42</v>
      </c>
      <c r="HM8" s="25">
        <v>70</v>
      </c>
      <c r="HN8" s="25" t="s">
        <v>312</v>
      </c>
      <c r="HO8" s="34">
        <f>1*120</f>
        <v>120</v>
      </c>
      <c r="HP8" s="34"/>
      <c r="HQ8" s="27"/>
      <c r="HR8" s="28" t="s">
        <v>95</v>
      </c>
      <c r="HT8" s="20">
        <f t="shared" ref="HT8:HT14" si="7">HT7+1</f>
        <v>2</v>
      </c>
      <c r="HU8" s="21">
        <v>0</v>
      </c>
      <c r="HV8" s="22" t="s">
        <v>45</v>
      </c>
      <c r="HW8" s="23" t="s">
        <v>39</v>
      </c>
      <c r="HX8" s="22" t="s">
        <v>42</v>
      </c>
      <c r="HY8" s="25">
        <v>8</v>
      </c>
      <c r="HZ8" s="25" t="s">
        <v>312</v>
      </c>
      <c r="IA8" s="26" t="s">
        <v>40</v>
      </c>
      <c r="IB8" s="26"/>
      <c r="IC8" s="27"/>
      <c r="ID8" s="33" t="s">
        <v>96</v>
      </c>
      <c r="IF8" s="20">
        <f t="shared" ref="IF8:IF24" si="8">IF7+1</f>
        <v>2</v>
      </c>
      <c r="IG8" s="21">
        <v>0</v>
      </c>
      <c r="IH8" s="22" t="s">
        <v>45</v>
      </c>
      <c r="II8" s="23" t="s">
        <v>39</v>
      </c>
      <c r="IJ8" s="22" t="s">
        <v>42</v>
      </c>
      <c r="IK8" s="25">
        <v>400</v>
      </c>
      <c r="IL8" s="25" t="s">
        <v>312</v>
      </c>
      <c r="IM8" s="34">
        <f>12*148</f>
        <v>1776</v>
      </c>
      <c r="IN8" s="35">
        <v>2250</v>
      </c>
      <c r="IO8" s="27"/>
      <c r="IP8" s="28" t="s">
        <v>97</v>
      </c>
      <c r="IR8" s="20">
        <f t="shared" ref="IR8:IR13" si="9">IR7+1</f>
        <v>2</v>
      </c>
      <c r="IS8" s="21">
        <v>0</v>
      </c>
      <c r="IT8" s="22" t="s">
        <v>38</v>
      </c>
      <c r="IU8" s="23" t="s">
        <v>39</v>
      </c>
      <c r="IV8" s="32" t="s">
        <v>59</v>
      </c>
      <c r="IW8" s="25">
        <v>20000</v>
      </c>
      <c r="IX8" s="25" t="s">
        <v>337</v>
      </c>
      <c r="IY8" s="34">
        <f>8100</f>
        <v>8100</v>
      </c>
      <c r="IZ8" s="35">
        <v>150</v>
      </c>
      <c r="JA8" s="27"/>
      <c r="JB8" s="28" t="s">
        <v>98</v>
      </c>
      <c r="JD8" s="20">
        <f t="shared" ref="JD8:JD16" si="10">JD7+1</f>
        <v>2</v>
      </c>
      <c r="JE8" s="21">
        <v>0</v>
      </c>
      <c r="JF8" s="22" t="s">
        <v>45</v>
      </c>
      <c r="JG8" s="23" t="s">
        <v>39</v>
      </c>
      <c r="JH8" s="22" t="s">
        <v>42</v>
      </c>
      <c r="JI8" s="25">
        <v>10</v>
      </c>
      <c r="JJ8" s="25" t="s">
        <v>312</v>
      </c>
      <c r="JK8" s="26" t="s">
        <v>40</v>
      </c>
      <c r="JL8" s="30"/>
      <c r="JM8" s="27"/>
      <c r="JN8" s="28" t="s">
        <v>99</v>
      </c>
      <c r="JP8" s="20">
        <f t="shared" ref="JP8:JP18" si="11">JP7+1</f>
        <v>2</v>
      </c>
      <c r="JQ8" s="21">
        <v>0</v>
      </c>
      <c r="JR8" s="22" t="s">
        <v>45</v>
      </c>
      <c r="JS8" s="23" t="s">
        <v>39</v>
      </c>
      <c r="JT8" s="22" t="s">
        <v>42</v>
      </c>
      <c r="JU8" s="25">
        <v>150</v>
      </c>
      <c r="JV8" s="25" t="s">
        <v>312</v>
      </c>
      <c r="JW8" s="34">
        <f>2*197</f>
        <v>394</v>
      </c>
      <c r="JX8" s="34"/>
      <c r="JY8" s="27"/>
      <c r="JZ8" s="28" t="s">
        <v>100</v>
      </c>
      <c r="KB8" s="20">
        <f>KB7+1</f>
        <v>2</v>
      </c>
      <c r="KC8" s="21">
        <v>0</v>
      </c>
      <c r="KD8" s="22" t="s">
        <v>45</v>
      </c>
      <c r="KE8" s="23" t="s">
        <v>39</v>
      </c>
      <c r="KF8" s="22" t="s">
        <v>42</v>
      </c>
      <c r="KG8" s="25">
        <v>350</v>
      </c>
      <c r="KH8" s="25" t="s">
        <v>312</v>
      </c>
      <c r="KI8" s="34">
        <f>1*148</f>
        <v>148</v>
      </c>
      <c r="KJ8" s="35">
        <v>10000</v>
      </c>
      <c r="KK8" s="27"/>
      <c r="KL8" s="28" t="s">
        <v>101</v>
      </c>
      <c r="KN8" s="20">
        <f>KN7+1</f>
        <v>2</v>
      </c>
      <c r="KO8" s="21">
        <v>0</v>
      </c>
      <c r="KP8" s="22" t="s">
        <v>38</v>
      </c>
      <c r="KQ8" s="23" t="s">
        <v>39</v>
      </c>
      <c r="KR8" s="32" t="s">
        <v>59</v>
      </c>
      <c r="KS8" s="25">
        <v>30000</v>
      </c>
      <c r="KT8" s="25" t="s">
        <v>69</v>
      </c>
      <c r="KU8" s="36"/>
      <c r="KV8" s="36">
        <v>100</v>
      </c>
      <c r="KW8" s="27"/>
      <c r="KX8" s="28" t="s">
        <v>102</v>
      </c>
      <c r="KZ8" s="20">
        <f>KZ7+1</f>
        <v>2</v>
      </c>
      <c r="LA8" s="21">
        <v>0</v>
      </c>
      <c r="LB8" s="22" t="s">
        <v>38</v>
      </c>
      <c r="LC8" s="23" t="s">
        <v>39</v>
      </c>
      <c r="LD8" s="22" t="s">
        <v>42</v>
      </c>
      <c r="LE8" s="25">
        <v>375000</v>
      </c>
      <c r="LF8" s="25" t="s">
        <v>326</v>
      </c>
      <c r="LG8" s="34">
        <f>288*123</f>
        <v>35424</v>
      </c>
      <c r="LH8" s="35">
        <v>90</v>
      </c>
      <c r="LI8" s="27"/>
      <c r="LJ8" s="28" t="s">
        <v>103</v>
      </c>
      <c r="LL8" s="20">
        <f>LL7+1</f>
        <v>2</v>
      </c>
      <c r="LM8" s="21">
        <v>0</v>
      </c>
      <c r="LN8" s="22" t="s">
        <v>38</v>
      </c>
      <c r="LO8" s="23" t="s">
        <v>39</v>
      </c>
      <c r="LP8" s="22" t="s">
        <v>42</v>
      </c>
      <c r="LQ8" s="25">
        <v>250000</v>
      </c>
      <c r="LR8" s="25" t="s">
        <v>326</v>
      </c>
      <c r="LS8" s="34">
        <f>288*98</f>
        <v>28224</v>
      </c>
      <c r="LT8" s="35">
        <v>50</v>
      </c>
      <c r="LU8" s="27"/>
      <c r="LV8" s="28" t="s">
        <v>104</v>
      </c>
    </row>
    <row r="9" spans="1:420" ht="135" customHeight="1">
      <c r="L9" s="37"/>
      <c r="M9" s="38"/>
      <c r="N9" s="38"/>
      <c r="X9" s="37"/>
      <c r="Y9" s="38"/>
      <c r="Z9" s="38"/>
      <c r="AA9" s="38"/>
      <c r="AB9" s="38"/>
      <c r="AC9" s="41"/>
      <c r="AD9" s="41"/>
      <c r="AE9" s="41"/>
      <c r="AF9" s="41"/>
      <c r="AG9" s="42"/>
      <c r="AJ9" s="20">
        <f>AJ8+1</f>
        <v>3</v>
      </c>
      <c r="AK9" s="21">
        <v>0</v>
      </c>
      <c r="AL9" s="22" t="s">
        <v>45</v>
      </c>
      <c r="AM9" s="23" t="s">
        <v>39</v>
      </c>
      <c r="AN9" s="22" t="s">
        <v>42</v>
      </c>
      <c r="AO9" s="43">
        <v>150</v>
      </c>
      <c r="AP9" s="25" t="s">
        <v>312</v>
      </c>
      <c r="AQ9" s="34">
        <v>11</v>
      </c>
      <c r="AR9" s="26"/>
      <c r="AS9" s="44"/>
      <c r="AT9" s="28" t="s">
        <v>106</v>
      </c>
      <c r="AV9" s="37"/>
      <c r="AW9" s="38"/>
      <c r="AX9" s="38"/>
      <c r="AY9" s="38"/>
      <c r="AZ9" s="38"/>
      <c r="BA9" s="41"/>
      <c r="BB9" s="41"/>
      <c r="BC9" s="41"/>
      <c r="BD9" s="41"/>
      <c r="BH9" s="20">
        <f>BH8+1</f>
        <v>3</v>
      </c>
      <c r="BI9" s="21">
        <v>0</v>
      </c>
      <c r="BJ9" s="22" t="s">
        <v>45</v>
      </c>
      <c r="BK9" s="23" t="s">
        <v>39</v>
      </c>
      <c r="BL9" s="22" t="s">
        <v>42</v>
      </c>
      <c r="BM9" s="43">
        <v>50</v>
      </c>
      <c r="BN9" s="25" t="s">
        <v>312</v>
      </c>
      <c r="BO9" s="34">
        <v>60</v>
      </c>
      <c r="BP9" s="26"/>
      <c r="BQ9" s="44"/>
      <c r="BR9" s="28" t="s">
        <v>107</v>
      </c>
      <c r="BT9" s="20">
        <f t="shared" si="0"/>
        <v>3</v>
      </c>
      <c r="BU9" s="21">
        <v>0</v>
      </c>
      <c r="BV9" s="22" t="s">
        <v>45</v>
      </c>
      <c r="BW9" s="23" t="s">
        <v>39</v>
      </c>
      <c r="BX9" s="22" t="s">
        <v>42</v>
      </c>
      <c r="BY9" s="25">
        <v>5</v>
      </c>
      <c r="BZ9" s="25" t="s">
        <v>312</v>
      </c>
      <c r="CA9" s="26" t="s">
        <v>40</v>
      </c>
      <c r="CB9" s="26"/>
      <c r="CC9" s="27"/>
      <c r="CD9" s="28" t="s">
        <v>108</v>
      </c>
      <c r="CF9" s="20">
        <f t="shared" si="1"/>
        <v>3</v>
      </c>
      <c r="CG9" s="21">
        <v>0</v>
      </c>
      <c r="CH9" s="22" t="s">
        <v>45</v>
      </c>
      <c r="CI9" s="23" t="s">
        <v>39</v>
      </c>
      <c r="CJ9" s="22" t="s">
        <v>84</v>
      </c>
      <c r="CK9" s="25">
        <v>25</v>
      </c>
      <c r="CL9" s="25" t="s">
        <v>312</v>
      </c>
      <c r="CM9" s="26" t="s">
        <v>40</v>
      </c>
      <c r="CN9" s="26"/>
      <c r="CO9" s="27"/>
      <c r="CP9" s="28" t="s">
        <v>109</v>
      </c>
      <c r="CR9" s="20">
        <f>CR8+1</f>
        <v>3</v>
      </c>
      <c r="CS9" s="21">
        <v>0</v>
      </c>
      <c r="CT9" s="22" t="s">
        <v>45</v>
      </c>
      <c r="CU9" s="23" t="s">
        <v>39</v>
      </c>
      <c r="CV9" s="22" t="s">
        <v>42</v>
      </c>
      <c r="CW9" s="25">
        <v>10</v>
      </c>
      <c r="CX9" s="25" t="s">
        <v>312</v>
      </c>
      <c r="CY9" s="26" t="s">
        <v>40</v>
      </c>
      <c r="CZ9" s="26"/>
      <c r="DA9" s="27"/>
      <c r="DB9" s="28" t="s">
        <v>110</v>
      </c>
      <c r="DD9" s="20">
        <f>DD8+1</f>
        <v>3</v>
      </c>
      <c r="DE9" s="21">
        <v>0</v>
      </c>
      <c r="DF9" s="22" t="s">
        <v>45</v>
      </c>
      <c r="DG9" s="23" t="s">
        <v>39</v>
      </c>
      <c r="DH9" s="22" t="s">
        <v>42</v>
      </c>
      <c r="DI9" s="25">
        <v>50</v>
      </c>
      <c r="DJ9" s="25" t="s">
        <v>312</v>
      </c>
      <c r="DK9" s="34">
        <f>10*24</f>
        <v>240</v>
      </c>
      <c r="DL9" s="34"/>
      <c r="DM9" s="27"/>
      <c r="DN9" s="28" t="s">
        <v>111</v>
      </c>
      <c r="DP9" s="20">
        <f t="shared" si="2"/>
        <v>3</v>
      </c>
      <c r="DQ9" s="21">
        <v>0</v>
      </c>
      <c r="DR9" s="22" t="s">
        <v>45</v>
      </c>
      <c r="DS9" s="23" t="s">
        <v>39</v>
      </c>
      <c r="DT9" s="22" t="s">
        <v>42</v>
      </c>
      <c r="DU9" s="25">
        <v>55</v>
      </c>
      <c r="DV9" s="25" t="s">
        <v>312</v>
      </c>
      <c r="DW9" s="34">
        <f>16*14</f>
        <v>224</v>
      </c>
      <c r="DX9" s="35">
        <v>16075</v>
      </c>
      <c r="DY9" s="27"/>
      <c r="DZ9" s="28" t="s">
        <v>112</v>
      </c>
      <c r="EB9" s="37"/>
      <c r="EC9" s="38"/>
      <c r="ED9" s="38"/>
      <c r="EE9" s="38"/>
      <c r="EF9" s="38"/>
      <c r="EG9" s="18"/>
      <c r="EH9" s="18"/>
      <c r="EI9" s="18"/>
      <c r="EJ9" s="18"/>
      <c r="EN9" s="37"/>
      <c r="EO9" s="38"/>
      <c r="EP9" s="38"/>
      <c r="EQ9" s="38"/>
      <c r="ER9" s="38"/>
      <c r="ES9" s="18"/>
      <c r="ET9" s="18"/>
      <c r="EU9" s="18"/>
      <c r="EV9" s="18"/>
      <c r="EZ9" s="37"/>
      <c r="FA9" s="38"/>
      <c r="FB9" s="38"/>
      <c r="FC9" s="38"/>
      <c r="FD9" s="38"/>
      <c r="FE9" s="18"/>
      <c r="FF9" s="18"/>
      <c r="FG9" s="18"/>
      <c r="FH9" s="18"/>
      <c r="FL9" s="20">
        <f t="shared" si="4"/>
        <v>3</v>
      </c>
      <c r="FM9" s="21">
        <v>0</v>
      </c>
      <c r="FN9" s="22" t="s">
        <v>45</v>
      </c>
      <c r="FO9" s="23" t="s">
        <v>39</v>
      </c>
      <c r="FP9" s="22" t="s">
        <v>42</v>
      </c>
      <c r="FQ9" s="25">
        <v>15</v>
      </c>
      <c r="FR9" s="25" t="s">
        <v>312</v>
      </c>
      <c r="FS9" s="34">
        <f>4*20</f>
        <v>80</v>
      </c>
      <c r="FT9" s="34"/>
      <c r="FU9" s="27"/>
      <c r="FV9" s="28" t="s">
        <v>113</v>
      </c>
      <c r="FX9" s="20">
        <f t="shared" si="5"/>
        <v>3</v>
      </c>
      <c r="FY9" s="21">
        <v>0</v>
      </c>
      <c r="FZ9" s="22" t="s">
        <v>45</v>
      </c>
      <c r="GA9" s="23" t="s">
        <v>39</v>
      </c>
      <c r="GB9" s="22" t="s">
        <v>42</v>
      </c>
      <c r="GC9" s="25">
        <v>20</v>
      </c>
      <c r="GD9" s="25" t="s">
        <v>312</v>
      </c>
      <c r="GE9" s="34">
        <f>5*10</f>
        <v>50</v>
      </c>
      <c r="GF9" s="34"/>
      <c r="GG9" s="27"/>
      <c r="GH9" s="28" t="s">
        <v>114</v>
      </c>
      <c r="GJ9" s="20">
        <f>GJ8+1</f>
        <v>3</v>
      </c>
      <c r="GK9" s="21">
        <v>0</v>
      </c>
      <c r="GL9" s="22" t="s">
        <v>38</v>
      </c>
      <c r="GM9" s="23" t="s">
        <v>55</v>
      </c>
      <c r="GN9" s="22" t="s">
        <v>42</v>
      </c>
      <c r="GO9" s="25">
        <v>450</v>
      </c>
      <c r="GP9" s="25" t="s">
        <v>56</v>
      </c>
      <c r="GQ9" s="34">
        <f>48*9</f>
        <v>432</v>
      </c>
      <c r="GR9" s="26" t="s">
        <v>40</v>
      </c>
      <c r="GS9" s="27"/>
      <c r="GT9" s="28" t="s">
        <v>115</v>
      </c>
      <c r="GV9" s="20">
        <f>GV8+1</f>
        <v>3</v>
      </c>
      <c r="GW9" s="21">
        <v>0</v>
      </c>
      <c r="GX9" s="22" t="s">
        <v>38</v>
      </c>
      <c r="GY9" s="23" t="s">
        <v>39</v>
      </c>
      <c r="GZ9" s="32" t="s">
        <v>59</v>
      </c>
      <c r="HA9" s="25">
        <v>500</v>
      </c>
      <c r="HB9" s="25" t="s">
        <v>116</v>
      </c>
      <c r="HC9" s="34">
        <f>36*10</f>
        <v>360</v>
      </c>
      <c r="HD9" s="34"/>
      <c r="HE9" s="27"/>
      <c r="HF9" s="28" t="s">
        <v>117</v>
      </c>
      <c r="HH9" s="20">
        <f t="shared" si="6"/>
        <v>3</v>
      </c>
      <c r="HI9" s="21">
        <v>0</v>
      </c>
      <c r="HJ9" s="22" t="s">
        <v>45</v>
      </c>
      <c r="HK9" s="23" t="s">
        <v>39</v>
      </c>
      <c r="HL9" s="22" t="s">
        <v>42</v>
      </c>
      <c r="HM9" s="25">
        <v>40</v>
      </c>
      <c r="HN9" s="25" t="s">
        <v>312</v>
      </c>
      <c r="HO9" s="26" t="s">
        <v>40</v>
      </c>
      <c r="HP9" s="26"/>
      <c r="HQ9" s="27"/>
      <c r="HR9" s="28" t="s">
        <v>118</v>
      </c>
      <c r="HT9" s="20">
        <f t="shared" si="7"/>
        <v>3</v>
      </c>
      <c r="HU9" s="21">
        <v>0</v>
      </c>
      <c r="HV9" s="22" t="s">
        <v>45</v>
      </c>
      <c r="HW9" s="23" t="s">
        <v>39</v>
      </c>
      <c r="HX9" s="22" t="s">
        <v>42</v>
      </c>
      <c r="HY9" s="25">
        <v>8</v>
      </c>
      <c r="HZ9" s="25" t="s">
        <v>312</v>
      </c>
      <c r="IA9" s="26" t="s">
        <v>40</v>
      </c>
      <c r="IB9" s="26"/>
      <c r="IC9" s="27"/>
      <c r="ID9" s="45" t="s">
        <v>119</v>
      </c>
      <c r="IF9" s="20">
        <f t="shared" si="8"/>
        <v>3</v>
      </c>
      <c r="IG9" s="21">
        <v>0</v>
      </c>
      <c r="IH9" s="22" t="s">
        <v>45</v>
      </c>
      <c r="II9" s="23" t="s">
        <v>39</v>
      </c>
      <c r="IJ9" s="22" t="s">
        <v>42</v>
      </c>
      <c r="IK9" s="25">
        <v>3000</v>
      </c>
      <c r="IL9" s="25" t="s">
        <v>312</v>
      </c>
      <c r="IM9" s="34">
        <f>180*148</f>
        <v>26640</v>
      </c>
      <c r="IN9" s="35">
        <v>250</v>
      </c>
      <c r="IO9" s="27"/>
      <c r="IP9" s="28" t="s">
        <v>120</v>
      </c>
      <c r="IR9" s="20">
        <f t="shared" si="9"/>
        <v>3</v>
      </c>
      <c r="IS9" s="21">
        <v>0</v>
      </c>
      <c r="IT9" s="22" t="s">
        <v>38</v>
      </c>
      <c r="IU9" s="23" t="s">
        <v>39</v>
      </c>
      <c r="IV9" s="32" t="s">
        <v>59</v>
      </c>
      <c r="IW9" s="25">
        <v>50</v>
      </c>
      <c r="IX9" s="25" t="s">
        <v>69</v>
      </c>
      <c r="IY9" s="34">
        <f>3*30</f>
        <v>90</v>
      </c>
      <c r="IZ9" s="35"/>
      <c r="JA9" s="27"/>
      <c r="JB9" s="28" t="s">
        <v>121</v>
      </c>
      <c r="JD9" s="20">
        <f t="shared" si="10"/>
        <v>3</v>
      </c>
      <c r="JE9" s="21">
        <v>0</v>
      </c>
      <c r="JF9" s="22" t="s">
        <v>45</v>
      </c>
      <c r="JG9" s="23" t="s">
        <v>39</v>
      </c>
      <c r="JH9" s="22" t="s">
        <v>42</v>
      </c>
      <c r="JI9" s="25">
        <v>25</v>
      </c>
      <c r="JJ9" s="25" t="s">
        <v>312</v>
      </c>
      <c r="JK9" s="26" t="s">
        <v>40</v>
      </c>
      <c r="JL9" s="30"/>
      <c r="JM9" s="27"/>
      <c r="JN9" s="28" t="s">
        <v>122</v>
      </c>
      <c r="JP9" s="20">
        <f t="shared" si="11"/>
        <v>3</v>
      </c>
      <c r="JQ9" s="21">
        <v>0</v>
      </c>
      <c r="JR9" s="22" t="s">
        <v>45</v>
      </c>
      <c r="JS9" s="23" t="s">
        <v>39</v>
      </c>
      <c r="JT9" s="22" t="s">
        <v>42</v>
      </c>
      <c r="JU9" s="25">
        <v>800</v>
      </c>
      <c r="JV9" s="25" t="s">
        <v>312</v>
      </c>
      <c r="JW9" s="34">
        <f>20*197</f>
        <v>3940</v>
      </c>
      <c r="JX9" s="34"/>
      <c r="JY9" s="27"/>
      <c r="JZ9" s="28" t="s">
        <v>123</v>
      </c>
      <c r="KB9" s="20">
        <f t="shared" ref="KB9:KB23" si="12">KB8+1</f>
        <v>3</v>
      </c>
      <c r="KC9" s="21">
        <v>0</v>
      </c>
      <c r="KD9" s="22" t="s">
        <v>38</v>
      </c>
      <c r="KE9" s="23" t="s">
        <v>39</v>
      </c>
      <c r="KF9" s="22" t="s">
        <v>42</v>
      </c>
      <c r="KG9" s="25">
        <v>29000</v>
      </c>
      <c r="KH9" s="25" t="s">
        <v>56</v>
      </c>
      <c r="KI9" s="34">
        <f>100*148</f>
        <v>14800</v>
      </c>
      <c r="KJ9" s="35">
        <v>100</v>
      </c>
      <c r="KK9" s="44"/>
      <c r="KL9" s="28" t="s">
        <v>124</v>
      </c>
      <c r="KN9" s="20">
        <f t="shared" ref="KN9:KN14" si="13">KN8+1</f>
        <v>3</v>
      </c>
      <c r="KO9" s="21">
        <v>0</v>
      </c>
      <c r="KP9" s="22" t="s">
        <v>38</v>
      </c>
      <c r="KQ9" s="23" t="s">
        <v>39</v>
      </c>
      <c r="KR9" s="32" t="s">
        <v>59</v>
      </c>
      <c r="KS9" s="25">
        <v>400</v>
      </c>
      <c r="KT9" s="25" t="s">
        <v>69</v>
      </c>
      <c r="KU9" s="34">
        <f>16*20</f>
        <v>320</v>
      </c>
      <c r="KV9" s="34"/>
      <c r="KW9" s="27"/>
      <c r="KX9" s="28" t="s">
        <v>125</v>
      </c>
      <c r="KZ9" s="20">
        <f t="shared" ref="KZ9:KZ12" si="14">KZ8+1</f>
        <v>3</v>
      </c>
      <c r="LA9" s="21">
        <v>0</v>
      </c>
      <c r="LB9" s="22" t="s">
        <v>38</v>
      </c>
      <c r="LC9" s="23" t="s">
        <v>39</v>
      </c>
      <c r="LD9" s="22" t="s">
        <v>42</v>
      </c>
      <c r="LE9" s="25">
        <v>2000000</v>
      </c>
      <c r="LF9" s="25" t="s">
        <v>326</v>
      </c>
      <c r="LG9" s="34">
        <f>2592*123</f>
        <v>318816</v>
      </c>
      <c r="LH9" s="35">
        <v>10</v>
      </c>
      <c r="LI9" s="27"/>
      <c r="LJ9" s="28" t="s">
        <v>126</v>
      </c>
      <c r="LL9" s="20">
        <f t="shared" ref="LL9:LL11" si="15">LL8+1</f>
        <v>3</v>
      </c>
      <c r="LM9" s="21">
        <v>0</v>
      </c>
      <c r="LN9" s="22" t="s">
        <v>45</v>
      </c>
      <c r="LO9" s="23" t="s">
        <v>39</v>
      </c>
      <c r="LP9" s="22" t="s">
        <v>42</v>
      </c>
      <c r="LQ9" s="25">
        <v>3200</v>
      </c>
      <c r="LR9" s="25" t="s">
        <v>312</v>
      </c>
      <c r="LS9" s="34">
        <f>192*15</f>
        <v>2880</v>
      </c>
      <c r="LT9" s="35">
        <v>422</v>
      </c>
      <c r="LU9" s="27"/>
      <c r="LV9" s="28" t="s">
        <v>127</v>
      </c>
    </row>
    <row r="10" spans="1:420" ht="135" customHeight="1">
      <c r="Q10" s="46"/>
      <c r="R10" s="46"/>
      <c r="S10" s="46"/>
      <c r="T10" s="46"/>
      <c r="AJ10" s="37"/>
      <c r="AK10" s="38"/>
      <c r="AL10" s="38"/>
      <c r="AM10" s="38"/>
      <c r="AN10" s="38"/>
      <c r="AO10" s="41"/>
      <c r="AP10" s="41"/>
      <c r="AQ10" s="41"/>
      <c r="AR10" s="41"/>
      <c r="AV10" s="37"/>
      <c r="AW10" s="38"/>
      <c r="AX10" s="38"/>
      <c r="AY10" s="38"/>
      <c r="AZ10" s="38"/>
      <c r="BA10" s="41"/>
      <c r="BB10" s="41"/>
      <c r="BC10" s="41"/>
      <c r="BD10" s="41"/>
      <c r="BH10" s="37"/>
      <c r="BI10" s="38"/>
      <c r="BJ10" s="38"/>
      <c r="BK10" s="38"/>
      <c r="BL10" s="38"/>
      <c r="BM10" s="41"/>
      <c r="BN10" s="41"/>
      <c r="BO10" s="41"/>
      <c r="BP10" s="41"/>
      <c r="BT10" s="20">
        <f t="shared" si="0"/>
        <v>4</v>
      </c>
      <c r="BU10" s="21">
        <v>0</v>
      </c>
      <c r="BV10" s="22" t="s">
        <v>45</v>
      </c>
      <c r="BW10" s="23" t="s">
        <v>39</v>
      </c>
      <c r="BX10" s="22" t="s">
        <v>42</v>
      </c>
      <c r="BY10" s="25">
        <v>5</v>
      </c>
      <c r="BZ10" s="25" t="s">
        <v>312</v>
      </c>
      <c r="CA10" s="26" t="s">
        <v>40</v>
      </c>
      <c r="CB10" s="26"/>
      <c r="CC10" s="27"/>
      <c r="CD10" s="28" t="s">
        <v>129</v>
      </c>
      <c r="CF10" s="20">
        <f t="shared" si="1"/>
        <v>4</v>
      </c>
      <c r="CG10" s="21">
        <v>0</v>
      </c>
      <c r="CH10" s="22" t="s">
        <v>45</v>
      </c>
      <c r="CI10" s="23" t="s">
        <v>39</v>
      </c>
      <c r="CJ10" s="22" t="s">
        <v>42</v>
      </c>
      <c r="CK10" s="25">
        <v>25</v>
      </c>
      <c r="CL10" s="25" t="s">
        <v>312</v>
      </c>
      <c r="CM10" s="26" t="s">
        <v>40</v>
      </c>
      <c r="CN10" s="26"/>
      <c r="CO10" s="27"/>
      <c r="CP10" s="28" t="s">
        <v>130</v>
      </c>
      <c r="CR10" s="20">
        <f>CR9+1</f>
        <v>4</v>
      </c>
      <c r="CS10" s="21">
        <v>0</v>
      </c>
      <c r="CT10" s="22" t="s">
        <v>45</v>
      </c>
      <c r="CU10" s="23" t="s">
        <v>39</v>
      </c>
      <c r="CV10" s="22" t="s">
        <v>42</v>
      </c>
      <c r="CW10" s="25">
        <v>35</v>
      </c>
      <c r="CX10" s="25" t="s">
        <v>312</v>
      </c>
      <c r="CY10" s="34">
        <f>14*15</f>
        <v>210</v>
      </c>
      <c r="CZ10" s="34"/>
      <c r="DA10" s="27"/>
      <c r="DB10" s="28" t="s">
        <v>131</v>
      </c>
      <c r="DD10" s="20">
        <f>DD9+1</f>
        <v>4</v>
      </c>
      <c r="DE10" s="21">
        <v>0</v>
      </c>
      <c r="DF10" s="22" t="s">
        <v>45</v>
      </c>
      <c r="DG10" s="23" t="s">
        <v>39</v>
      </c>
      <c r="DH10" s="22" t="s">
        <v>42</v>
      </c>
      <c r="DI10" s="25">
        <v>100</v>
      </c>
      <c r="DJ10" s="25" t="s">
        <v>312</v>
      </c>
      <c r="DK10" s="34">
        <f>37*6</f>
        <v>222</v>
      </c>
      <c r="DL10" s="34"/>
      <c r="DM10" s="27"/>
      <c r="DN10" s="28" t="s">
        <v>132</v>
      </c>
      <c r="DP10" s="20">
        <f t="shared" si="2"/>
        <v>4</v>
      </c>
      <c r="DQ10" s="21">
        <v>0</v>
      </c>
      <c r="DR10" s="22" t="s">
        <v>45</v>
      </c>
      <c r="DS10" s="23" t="s">
        <v>39</v>
      </c>
      <c r="DT10" s="22" t="s">
        <v>42</v>
      </c>
      <c r="DU10" s="25">
        <v>1000</v>
      </c>
      <c r="DV10" s="25" t="s">
        <v>312</v>
      </c>
      <c r="DW10" s="34">
        <f>36*10</f>
        <v>360</v>
      </c>
      <c r="DX10" s="35">
        <v>10000</v>
      </c>
      <c r="DY10" s="27"/>
      <c r="DZ10" s="28" t="s">
        <v>133</v>
      </c>
      <c r="EB10" s="37"/>
      <c r="EC10" s="38"/>
      <c r="ED10" s="38"/>
      <c r="EE10" s="38"/>
      <c r="EF10" s="38"/>
      <c r="EG10" s="18"/>
      <c r="EH10" s="18"/>
      <c r="EI10" s="18"/>
      <c r="EJ10" s="18"/>
      <c r="EN10" s="37"/>
      <c r="EO10" s="38"/>
      <c r="EP10" s="38"/>
      <c r="EQ10" s="38"/>
      <c r="ER10" s="38"/>
      <c r="ES10" s="18"/>
      <c r="ET10" s="18"/>
      <c r="EU10" s="18"/>
      <c r="EV10" s="18"/>
      <c r="EZ10" s="37"/>
      <c r="FA10" s="38"/>
      <c r="FB10" s="38"/>
      <c r="FC10" s="38"/>
      <c r="FD10" s="38"/>
      <c r="FE10" s="18"/>
      <c r="FF10" s="18"/>
      <c r="FG10" s="18"/>
      <c r="FH10" s="18"/>
      <c r="FL10" s="20">
        <f t="shared" si="4"/>
        <v>4</v>
      </c>
      <c r="FM10" s="21">
        <v>0</v>
      </c>
      <c r="FN10" s="22" t="s">
        <v>45</v>
      </c>
      <c r="FO10" s="23" t="s">
        <v>39</v>
      </c>
      <c r="FP10" s="32" t="s">
        <v>59</v>
      </c>
      <c r="FQ10" s="25">
        <v>25</v>
      </c>
      <c r="FR10" s="25" t="s">
        <v>312</v>
      </c>
      <c r="FS10" s="34">
        <f>1*27</f>
        <v>27</v>
      </c>
      <c r="FT10" s="34"/>
      <c r="FU10" s="27"/>
      <c r="FV10" s="28" t="s">
        <v>134</v>
      </c>
      <c r="FX10" s="20">
        <f t="shared" si="5"/>
        <v>4</v>
      </c>
      <c r="FY10" s="21">
        <v>0</v>
      </c>
      <c r="FZ10" s="22" t="s">
        <v>45</v>
      </c>
      <c r="GA10" s="23" t="s">
        <v>39</v>
      </c>
      <c r="GB10" s="22" t="s">
        <v>42</v>
      </c>
      <c r="GC10" s="25">
        <v>50</v>
      </c>
      <c r="GD10" s="25" t="s">
        <v>312</v>
      </c>
      <c r="GE10" s="34">
        <f>50*10</f>
        <v>500</v>
      </c>
      <c r="GF10" s="34"/>
      <c r="GG10" s="27"/>
      <c r="GH10" s="28" t="s">
        <v>135</v>
      </c>
      <c r="GJ10" s="37"/>
      <c r="GK10" s="38"/>
      <c r="GL10" s="38"/>
      <c r="GM10" s="38"/>
      <c r="GN10" s="38"/>
      <c r="GO10" s="18"/>
      <c r="GP10" s="18"/>
      <c r="GQ10" s="18"/>
      <c r="GR10" s="18"/>
      <c r="GV10" s="20">
        <f>GV9+1</f>
        <v>4</v>
      </c>
      <c r="GW10" s="21">
        <v>0</v>
      </c>
      <c r="GX10" s="22" t="s">
        <v>38</v>
      </c>
      <c r="GY10" s="23" t="s">
        <v>39</v>
      </c>
      <c r="GZ10" s="32" t="s">
        <v>59</v>
      </c>
      <c r="HA10" s="25">
        <v>1000</v>
      </c>
      <c r="HB10" s="25" t="s">
        <v>116</v>
      </c>
      <c r="HC10" s="34">
        <f>36*15</f>
        <v>540</v>
      </c>
      <c r="HD10" s="34"/>
      <c r="HE10" s="27"/>
      <c r="HF10" s="28" t="s">
        <v>136</v>
      </c>
      <c r="HH10" s="20">
        <f t="shared" si="6"/>
        <v>4</v>
      </c>
      <c r="HI10" s="21">
        <v>0</v>
      </c>
      <c r="HJ10" s="22" t="s">
        <v>45</v>
      </c>
      <c r="HK10" s="23" t="s">
        <v>39</v>
      </c>
      <c r="HL10" s="22" t="s">
        <v>42</v>
      </c>
      <c r="HM10" s="25">
        <v>300</v>
      </c>
      <c r="HN10" s="25" t="s">
        <v>312</v>
      </c>
      <c r="HO10" s="34">
        <f>36*10</f>
        <v>360</v>
      </c>
      <c r="HP10" s="34"/>
      <c r="HQ10" s="27"/>
      <c r="HR10" s="28" t="s">
        <v>137</v>
      </c>
      <c r="HT10" s="20">
        <f t="shared" si="7"/>
        <v>4</v>
      </c>
      <c r="HU10" s="21">
        <v>0</v>
      </c>
      <c r="HV10" s="22" t="s">
        <v>45</v>
      </c>
      <c r="HW10" s="23" t="s">
        <v>39</v>
      </c>
      <c r="HX10" s="22" t="s">
        <v>42</v>
      </c>
      <c r="HY10" s="25">
        <v>400</v>
      </c>
      <c r="HZ10" s="25" t="s">
        <v>312</v>
      </c>
      <c r="IA10" s="34">
        <f>48*15</f>
        <v>720</v>
      </c>
      <c r="IB10" s="34"/>
      <c r="IC10" s="27"/>
      <c r="ID10" s="45" t="s">
        <v>138</v>
      </c>
      <c r="IF10" s="20">
        <f t="shared" si="8"/>
        <v>4</v>
      </c>
      <c r="IG10" s="21">
        <v>0</v>
      </c>
      <c r="IH10" s="22" t="s">
        <v>45</v>
      </c>
      <c r="II10" s="23" t="s">
        <v>39</v>
      </c>
      <c r="IJ10" s="22" t="s">
        <v>42</v>
      </c>
      <c r="IK10" s="25">
        <v>10</v>
      </c>
      <c r="IL10" s="25" t="s">
        <v>312</v>
      </c>
      <c r="IM10" s="26" t="s">
        <v>40</v>
      </c>
      <c r="IN10" s="30"/>
      <c r="IO10" s="27"/>
      <c r="IP10" s="28" t="s">
        <v>139</v>
      </c>
      <c r="IR10" s="20">
        <f t="shared" si="9"/>
        <v>4</v>
      </c>
      <c r="IS10" s="21">
        <v>0</v>
      </c>
      <c r="IT10" s="22" t="s">
        <v>38</v>
      </c>
      <c r="IU10" s="23" t="s">
        <v>39</v>
      </c>
      <c r="IV10" s="32" t="s">
        <v>59</v>
      </c>
      <c r="IW10" s="25">
        <v>10000</v>
      </c>
      <c r="IX10" s="25" t="s">
        <v>337</v>
      </c>
      <c r="IY10" s="34">
        <f>8100</f>
        <v>8100</v>
      </c>
      <c r="IZ10" s="35">
        <v>150</v>
      </c>
      <c r="JA10" s="27"/>
      <c r="JB10" s="28" t="s">
        <v>140</v>
      </c>
      <c r="JD10" s="20">
        <f t="shared" si="10"/>
        <v>4</v>
      </c>
      <c r="JE10" s="21">
        <v>0</v>
      </c>
      <c r="JF10" s="22" t="s">
        <v>45</v>
      </c>
      <c r="JG10" s="23" t="s">
        <v>39</v>
      </c>
      <c r="JH10" s="22" t="s">
        <v>42</v>
      </c>
      <c r="JI10" s="25">
        <v>2500</v>
      </c>
      <c r="JJ10" s="25" t="s">
        <v>312</v>
      </c>
      <c r="JK10" s="34">
        <f>36*98</f>
        <v>3528</v>
      </c>
      <c r="JL10" s="35">
        <v>375</v>
      </c>
      <c r="JM10" s="27"/>
      <c r="JN10" s="28" t="s">
        <v>141</v>
      </c>
      <c r="JP10" s="20">
        <f t="shared" si="11"/>
        <v>4</v>
      </c>
      <c r="JQ10" s="21">
        <v>0</v>
      </c>
      <c r="JR10" s="22" t="s">
        <v>45</v>
      </c>
      <c r="JS10" s="23" t="s">
        <v>39</v>
      </c>
      <c r="JT10" s="32" t="s">
        <v>59</v>
      </c>
      <c r="JU10" s="25">
        <v>50</v>
      </c>
      <c r="JV10" s="25" t="s">
        <v>312</v>
      </c>
      <c r="JW10" s="34">
        <f>6*29</f>
        <v>174</v>
      </c>
      <c r="JX10" s="34"/>
      <c r="JY10" s="27"/>
      <c r="JZ10" s="28" t="s">
        <v>142</v>
      </c>
      <c r="KB10" s="20">
        <f t="shared" si="12"/>
        <v>4</v>
      </c>
      <c r="KC10" s="21">
        <v>0</v>
      </c>
      <c r="KD10" s="22" t="s">
        <v>45</v>
      </c>
      <c r="KE10" s="23" t="s">
        <v>39</v>
      </c>
      <c r="KF10" s="22" t="s">
        <v>42</v>
      </c>
      <c r="KG10" s="25">
        <v>10</v>
      </c>
      <c r="KH10" s="25" t="s">
        <v>312</v>
      </c>
      <c r="KI10" s="26" t="s">
        <v>40</v>
      </c>
      <c r="KJ10" s="30"/>
      <c r="KK10" s="27"/>
      <c r="KL10" s="28" t="s">
        <v>143</v>
      </c>
      <c r="KN10" s="20">
        <f t="shared" si="13"/>
        <v>4</v>
      </c>
      <c r="KO10" s="21">
        <v>0</v>
      </c>
      <c r="KP10" s="22" t="s">
        <v>38</v>
      </c>
      <c r="KQ10" s="23" t="s">
        <v>39</v>
      </c>
      <c r="KR10" s="32" t="s">
        <v>59</v>
      </c>
      <c r="KS10" s="25">
        <v>30000</v>
      </c>
      <c r="KT10" s="25" t="s">
        <v>69</v>
      </c>
      <c r="KU10" s="36"/>
      <c r="KV10" s="36">
        <v>100</v>
      </c>
      <c r="KW10" s="27"/>
      <c r="KX10" s="28" t="s">
        <v>144</v>
      </c>
      <c r="KZ10" s="20">
        <f t="shared" si="14"/>
        <v>4</v>
      </c>
      <c r="LA10" s="21">
        <v>0</v>
      </c>
      <c r="LB10" s="22" t="s">
        <v>38</v>
      </c>
      <c r="LC10" s="23" t="s">
        <v>39</v>
      </c>
      <c r="LD10" s="22" t="s">
        <v>42</v>
      </c>
      <c r="LE10" s="25">
        <v>10000</v>
      </c>
      <c r="LF10" s="25" t="s">
        <v>320</v>
      </c>
      <c r="LG10" s="34">
        <f>288*15</f>
        <v>4320</v>
      </c>
      <c r="LH10" s="35">
        <v>570</v>
      </c>
      <c r="LI10" s="27"/>
      <c r="LJ10" s="28" t="s">
        <v>145</v>
      </c>
      <c r="LL10" s="20">
        <f t="shared" si="15"/>
        <v>4</v>
      </c>
      <c r="LM10" s="21">
        <v>0</v>
      </c>
      <c r="LN10" s="22" t="s">
        <v>45</v>
      </c>
      <c r="LO10" s="23" t="s">
        <v>39</v>
      </c>
      <c r="LP10" s="22" t="s">
        <v>42</v>
      </c>
      <c r="LQ10" s="25">
        <v>4000</v>
      </c>
      <c r="LR10" s="25" t="s">
        <v>312</v>
      </c>
      <c r="LS10" s="34">
        <f>360*15</f>
        <v>5400</v>
      </c>
      <c r="LT10" s="35">
        <v>225</v>
      </c>
      <c r="LU10" s="27"/>
      <c r="LV10" s="28" t="s">
        <v>146</v>
      </c>
    </row>
    <row r="11" spans="1:420" ht="135" customHeight="1">
      <c r="BT11" s="20">
        <f t="shared" si="0"/>
        <v>5</v>
      </c>
      <c r="BU11" s="21">
        <v>0</v>
      </c>
      <c r="BV11" s="22" t="s">
        <v>45</v>
      </c>
      <c r="BW11" s="23" t="s">
        <v>39</v>
      </c>
      <c r="BX11" s="22" t="s">
        <v>42</v>
      </c>
      <c r="BY11" s="25">
        <v>2</v>
      </c>
      <c r="BZ11" s="25" t="s">
        <v>312</v>
      </c>
      <c r="CA11" s="26" t="s">
        <v>40</v>
      </c>
      <c r="CB11" s="26"/>
      <c r="CC11" s="27"/>
      <c r="CD11" s="28" t="s">
        <v>148</v>
      </c>
      <c r="CF11" s="20">
        <f t="shared" si="1"/>
        <v>5</v>
      </c>
      <c r="CG11" s="21">
        <v>0</v>
      </c>
      <c r="CH11" s="22" t="s">
        <v>45</v>
      </c>
      <c r="CI11" s="23" t="s">
        <v>39</v>
      </c>
      <c r="CJ11" s="22" t="s">
        <v>42</v>
      </c>
      <c r="CK11" s="25">
        <v>5</v>
      </c>
      <c r="CL11" s="25" t="s">
        <v>312</v>
      </c>
      <c r="CM11" s="26" t="s">
        <v>40</v>
      </c>
      <c r="CN11" s="26"/>
      <c r="CO11" s="27"/>
      <c r="CP11" s="28" t="s">
        <v>149</v>
      </c>
      <c r="CR11" s="20">
        <f>CR10+1</f>
        <v>5</v>
      </c>
      <c r="CS11" s="21">
        <v>0</v>
      </c>
      <c r="CT11" s="22" t="s">
        <v>45</v>
      </c>
      <c r="CU11" s="23" t="s">
        <v>39</v>
      </c>
      <c r="CV11" s="22" t="s">
        <v>42</v>
      </c>
      <c r="CW11" s="25">
        <v>35</v>
      </c>
      <c r="CX11" s="25" t="s">
        <v>312</v>
      </c>
      <c r="CY11" s="34">
        <f>42*5</f>
        <v>210</v>
      </c>
      <c r="CZ11" s="34"/>
      <c r="DA11" s="27"/>
      <c r="DB11" s="28" t="s">
        <v>150</v>
      </c>
      <c r="DD11" s="20">
        <f>DD10+1</f>
        <v>5</v>
      </c>
      <c r="DE11" s="21">
        <v>0</v>
      </c>
      <c r="DF11" s="22" t="s">
        <v>45</v>
      </c>
      <c r="DG11" s="23" t="s">
        <v>39</v>
      </c>
      <c r="DH11" s="22" t="s">
        <v>42</v>
      </c>
      <c r="DI11" s="25">
        <v>30</v>
      </c>
      <c r="DJ11" s="25" t="s">
        <v>312</v>
      </c>
      <c r="DK11" s="34">
        <f>3*30</f>
        <v>90</v>
      </c>
      <c r="DL11" s="34"/>
      <c r="DM11" s="27"/>
      <c r="DN11" s="28" t="s">
        <v>151</v>
      </c>
      <c r="DP11" s="20">
        <f t="shared" si="2"/>
        <v>5</v>
      </c>
      <c r="DQ11" s="21">
        <v>0</v>
      </c>
      <c r="DR11" s="22" t="s">
        <v>45</v>
      </c>
      <c r="DS11" s="23" t="s">
        <v>39</v>
      </c>
      <c r="DT11" s="22" t="s">
        <v>42</v>
      </c>
      <c r="DU11" s="25">
        <v>30</v>
      </c>
      <c r="DV11" s="25" t="s">
        <v>312</v>
      </c>
      <c r="DW11" s="34">
        <f>3*10</f>
        <v>30</v>
      </c>
      <c r="DX11" s="35">
        <v>86575</v>
      </c>
      <c r="DY11" s="27"/>
      <c r="DZ11" s="28" t="s">
        <v>152</v>
      </c>
      <c r="EG11" s="18"/>
      <c r="EH11" s="18"/>
      <c r="EI11" s="18"/>
      <c r="EJ11" s="18"/>
      <c r="ES11" s="18"/>
      <c r="ET11" s="18"/>
      <c r="EU11" s="18"/>
      <c r="EV11" s="18"/>
      <c r="FE11" s="18"/>
      <c r="FF11" s="18"/>
      <c r="FG11" s="18"/>
      <c r="FH11" s="18"/>
      <c r="FL11" s="20">
        <f t="shared" si="4"/>
        <v>5</v>
      </c>
      <c r="FM11" s="21">
        <v>0</v>
      </c>
      <c r="FN11" s="22" t="s">
        <v>45</v>
      </c>
      <c r="FO11" s="23" t="s">
        <v>39</v>
      </c>
      <c r="FP11" s="22" t="s">
        <v>42</v>
      </c>
      <c r="FQ11" s="25">
        <v>25</v>
      </c>
      <c r="FR11" s="25" t="s">
        <v>312</v>
      </c>
      <c r="FS11" s="34">
        <f>5*12</f>
        <v>60</v>
      </c>
      <c r="FT11" s="34"/>
      <c r="FU11" s="27"/>
      <c r="FV11" s="28" t="s">
        <v>153</v>
      </c>
      <c r="FX11" s="20">
        <f t="shared" si="5"/>
        <v>5</v>
      </c>
      <c r="FY11" s="21">
        <v>0</v>
      </c>
      <c r="FZ11" s="22" t="s">
        <v>45</v>
      </c>
      <c r="GA11" s="23" t="s">
        <v>39</v>
      </c>
      <c r="GB11" s="22" t="s">
        <v>42</v>
      </c>
      <c r="GC11" s="25">
        <v>20</v>
      </c>
      <c r="GD11" s="25" t="s">
        <v>312</v>
      </c>
      <c r="GE11" s="34">
        <f>12*7</f>
        <v>84</v>
      </c>
      <c r="GF11" s="34"/>
      <c r="GG11" s="27"/>
      <c r="GH11" s="28" t="s">
        <v>154</v>
      </c>
      <c r="GO11" s="18"/>
      <c r="GP11" s="18"/>
      <c r="GQ11" s="18"/>
      <c r="GR11" s="18"/>
      <c r="GV11" s="20">
        <f>GV10+1</f>
        <v>5</v>
      </c>
      <c r="GW11" s="21">
        <v>0</v>
      </c>
      <c r="GX11" s="22" t="s">
        <v>38</v>
      </c>
      <c r="GY11" s="23" t="s">
        <v>39</v>
      </c>
      <c r="GZ11" s="32" t="s">
        <v>59</v>
      </c>
      <c r="HA11" s="25">
        <v>500</v>
      </c>
      <c r="HB11" s="25" t="s">
        <v>69</v>
      </c>
      <c r="HC11" s="34">
        <f>18*10</f>
        <v>180</v>
      </c>
      <c r="HD11" s="34"/>
      <c r="HE11" s="27"/>
      <c r="HF11" s="28" t="s">
        <v>155</v>
      </c>
      <c r="HH11" s="20">
        <f t="shared" si="6"/>
        <v>5</v>
      </c>
      <c r="HI11" s="21">
        <v>0</v>
      </c>
      <c r="HJ11" s="22" t="s">
        <v>45</v>
      </c>
      <c r="HK11" s="23" t="s">
        <v>39</v>
      </c>
      <c r="HL11" s="22" t="s">
        <v>42</v>
      </c>
      <c r="HM11" s="25">
        <v>650</v>
      </c>
      <c r="HN11" s="25" t="s">
        <v>312</v>
      </c>
      <c r="HO11" s="34">
        <f>54*8</f>
        <v>432</v>
      </c>
      <c r="HP11" s="34"/>
      <c r="HQ11" s="27"/>
      <c r="HR11" s="28" t="s">
        <v>156</v>
      </c>
      <c r="HT11" s="20">
        <f t="shared" si="7"/>
        <v>5</v>
      </c>
      <c r="HU11" s="21">
        <v>0</v>
      </c>
      <c r="HV11" s="22" t="s">
        <v>45</v>
      </c>
      <c r="HW11" s="23" t="s">
        <v>39</v>
      </c>
      <c r="HX11" s="22" t="s">
        <v>42</v>
      </c>
      <c r="HY11" s="25">
        <v>20</v>
      </c>
      <c r="HZ11" s="25" t="s">
        <v>312</v>
      </c>
      <c r="IA11" s="34">
        <f>12*12</f>
        <v>144</v>
      </c>
      <c r="IB11" s="34"/>
      <c r="IC11" s="27"/>
      <c r="ID11" s="45" t="s">
        <v>157</v>
      </c>
      <c r="IF11" s="20">
        <f t="shared" si="8"/>
        <v>5</v>
      </c>
      <c r="IG11" s="21">
        <v>0</v>
      </c>
      <c r="IH11" s="22" t="s">
        <v>45</v>
      </c>
      <c r="II11" s="23" t="s">
        <v>39</v>
      </c>
      <c r="IJ11" s="22" t="s">
        <v>42</v>
      </c>
      <c r="IK11" s="25">
        <v>250</v>
      </c>
      <c r="IL11" s="25" t="s">
        <v>312</v>
      </c>
      <c r="IM11" s="34">
        <f>12*148</f>
        <v>1776</v>
      </c>
      <c r="IN11" s="35">
        <v>2250</v>
      </c>
      <c r="IO11" s="27"/>
      <c r="IP11" s="28" t="s">
        <v>158</v>
      </c>
      <c r="IR11" s="20">
        <f t="shared" si="9"/>
        <v>5</v>
      </c>
      <c r="IS11" s="21">
        <v>0</v>
      </c>
      <c r="IT11" s="22" t="s">
        <v>38</v>
      </c>
      <c r="IU11" s="23" t="s">
        <v>39</v>
      </c>
      <c r="IV11" s="32" t="s">
        <v>59</v>
      </c>
      <c r="IW11" s="25">
        <v>40</v>
      </c>
      <c r="IX11" s="25" t="s">
        <v>116</v>
      </c>
      <c r="IY11" s="26" t="s">
        <v>40</v>
      </c>
      <c r="IZ11" s="30"/>
      <c r="JA11" s="27"/>
      <c r="JB11" s="28" t="s">
        <v>159</v>
      </c>
      <c r="JD11" s="20">
        <f t="shared" si="10"/>
        <v>5</v>
      </c>
      <c r="JE11" s="21">
        <v>0</v>
      </c>
      <c r="JF11" s="22" t="s">
        <v>45</v>
      </c>
      <c r="JG11" s="23" t="s">
        <v>39</v>
      </c>
      <c r="JH11" s="22" t="s">
        <v>42</v>
      </c>
      <c r="JI11" s="25">
        <v>550</v>
      </c>
      <c r="JJ11" s="25" t="s">
        <v>312</v>
      </c>
      <c r="JK11" s="34">
        <f>72*10</f>
        <v>720</v>
      </c>
      <c r="JL11" s="35">
        <v>3410</v>
      </c>
      <c r="JM11" s="27"/>
      <c r="JN11" s="28" t="s">
        <v>160</v>
      </c>
      <c r="JP11" s="20">
        <f t="shared" si="11"/>
        <v>5</v>
      </c>
      <c r="JQ11" s="21">
        <v>0</v>
      </c>
      <c r="JR11" s="22" t="s">
        <v>45</v>
      </c>
      <c r="JS11" s="23" t="s">
        <v>39</v>
      </c>
      <c r="JT11" s="22" t="s">
        <v>42</v>
      </c>
      <c r="JU11" s="25">
        <v>600</v>
      </c>
      <c r="JV11" s="25" t="s">
        <v>312</v>
      </c>
      <c r="JW11" s="34">
        <f>288*12</f>
        <v>3456</v>
      </c>
      <c r="JX11" s="34"/>
      <c r="JY11" s="27"/>
      <c r="JZ11" s="28" t="s">
        <v>161</v>
      </c>
      <c r="KB11" s="20">
        <f t="shared" si="12"/>
        <v>5</v>
      </c>
      <c r="KC11" s="21">
        <v>0</v>
      </c>
      <c r="KD11" s="22" t="s">
        <v>45</v>
      </c>
      <c r="KE11" s="23" t="s">
        <v>39</v>
      </c>
      <c r="KF11" s="22" t="s">
        <v>42</v>
      </c>
      <c r="KG11" s="25">
        <v>250</v>
      </c>
      <c r="KH11" s="25" t="s">
        <v>312</v>
      </c>
      <c r="KI11" s="34">
        <f>1*123</f>
        <v>123</v>
      </c>
      <c r="KJ11" s="35">
        <v>10000</v>
      </c>
      <c r="KK11" s="27"/>
      <c r="KL11" s="28" t="s">
        <v>162</v>
      </c>
      <c r="KN11" s="20">
        <f t="shared" si="13"/>
        <v>5</v>
      </c>
      <c r="KO11" s="21">
        <v>0</v>
      </c>
      <c r="KP11" s="22" t="s">
        <v>38</v>
      </c>
      <c r="KQ11" s="23" t="s">
        <v>39</v>
      </c>
      <c r="KR11" s="32" t="s">
        <v>59</v>
      </c>
      <c r="KS11" s="25">
        <v>75</v>
      </c>
      <c r="KT11" s="25" t="s">
        <v>69</v>
      </c>
      <c r="KU11" s="34">
        <f>3*20</f>
        <v>60</v>
      </c>
      <c r="KV11" s="34"/>
      <c r="KW11" s="27"/>
      <c r="KX11" s="28" t="s">
        <v>164</v>
      </c>
      <c r="KZ11" s="20">
        <f t="shared" si="14"/>
        <v>5</v>
      </c>
      <c r="LA11" s="21">
        <v>0</v>
      </c>
      <c r="LB11" s="22" t="s">
        <v>45</v>
      </c>
      <c r="LC11" s="23" t="s">
        <v>39</v>
      </c>
      <c r="LD11" s="22" t="s">
        <v>42</v>
      </c>
      <c r="LE11" s="25">
        <v>2400</v>
      </c>
      <c r="LF11" s="25" t="s">
        <v>40</v>
      </c>
      <c r="LG11" s="34">
        <f>72*12</f>
        <v>864</v>
      </c>
      <c r="LH11" s="35">
        <v>925</v>
      </c>
      <c r="LI11" s="27"/>
      <c r="LJ11" s="28" t="s">
        <v>165</v>
      </c>
      <c r="LL11" s="20">
        <f t="shared" si="15"/>
        <v>5</v>
      </c>
      <c r="LM11" s="21">
        <v>0</v>
      </c>
      <c r="LN11" s="22" t="s">
        <v>45</v>
      </c>
      <c r="LO11" s="23" t="s">
        <v>39</v>
      </c>
      <c r="LP11" s="22" t="s">
        <v>42</v>
      </c>
      <c r="LQ11" s="25">
        <v>100</v>
      </c>
      <c r="LR11" s="25" t="s">
        <v>312</v>
      </c>
      <c r="LS11" s="34">
        <f>6*20</f>
        <v>120</v>
      </c>
      <c r="LT11" s="35"/>
      <c r="LU11" s="27"/>
      <c r="LV11" s="28" t="s">
        <v>166</v>
      </c>
    </row>
    <row r="12" spans="1:420" ht="135" customHeight="1">
      <c r="BT12" s="20">
        <f t="shared" si="0"/>
        <v>6</v>
      </c>
      <c r="BU12" s="21">
        <v>0</v>
      </c>
      <c r="BV12" s="22" t="s">
        <v>45</v>
      </c>
      <c r="BW12" s="23" t="s">
        <v>39</v>
      </c>
      <c r="BX12" s="22" t="s">
        <v>42</v>
      </c>
      <c r="BY12" s="25">
        <v>2</v>
      </c>
      <c r="BZ12" s="25" t="s">
        <v>312</v>
      </c>
      <c r="CA12" s="26" t="s">
        <v>40</v>
      </c>
      <c r="CB12" s="26"/>
      <c r="CC12" s="27"/>
      <c r="CD12" s="28" t="s">
        <v>168</v>
      </c>
      <c r="CF12" s="20">
        <f t="shared" si="1"/>
        <v>6</v>
      </c>
      <c r="CG12" s="21">
        <v>0</v>
      </c>
      <c r="CH12" s="22" t="s">
        <v>45</v>
      </c>
      <c r="CI12" s="23" t="s">
        <v>39</v>
      </c>
      <c r="CJ12" s="22" t="s">
        <v>42</v>
      </c>
      <c r="CK12" s="25">
        <v>5</v>
      </c>
      <c r="CL12" s="25" t="s">
        <v>312</v>
      </c>
      <c r="CM12" s="26" t="s">
        <v>40</v>
      </c>
      <c r="CN12" s="26"/>
      <c r="CO12" s="27"/>
      <c r="CP12" s="28" t="s">
        <v>169</v>
      </c>
      <c r="DD12" s="20">
        <f>DD11+1</f>
        <v>6</v>
      </c>
      <c r="DE12" s="21">
        <v>0</v>
      </c>
      <c r="DF12" s="22" t="s">
        <v>45</v>
      </c>
      <c r="DG12" s="23" t="s">
        <v>39</v>
      </c>
      <c r="DH12" s="22" t="s">
        <v>42</v>
      </c>
      <c r="DI12" s="25">
        <v>50</v>
      </c>
      <c r="DJ12" s="25" t="s">
        <v>312</v>
      </c>
      <c r="DK12" s="34">
        <f>4*10</f>
        <v>40</v>
      </c>
      <c r="DL12" s="34"/>
      <c r="DM12" s="27"/>
      <c r="DN12" s="28" t="s">
        <v>170</v>
      </c>
      <c r="DP12" s="20">
        <f t="shared" si="2"/>
        <v>6</v>
      </c>
      <c r="DQ12" s="21">
        <v>0</v>
      </c>
      <c r="DR12" s="22" t="s">
        <v>45</v>
      </c>
      <c r="DS12" s="23" t="s">
        <v>39</v>
      </c>
      <c r="DT12" s="22" t="s">
        <v>42</v>
      </c>
      <c r="DU12" s="25">
        <v>300</v>
      </c>
      <c r="DV12" s="25" t="s">
        <v>312</v>
      </c>
      <c r="DW12" s="34">
        <f>37*9</f>
        <v>333</v>
      </c>
      <c r="DX12" s="35">
        <v>7800</v>
      </c>
      <c r="DY12" s="27"/>
      <c r="DZ12" s="28" t="s">
        <v>171</v>
      </c>
      <c r="EG12" s="18"/>
      <c r="EH12" s="18"/>
      <c r="EI12" s="18"/>
      <c r="EJ12" s="18"/>
      <c r="ES12" s="18"/>
      <c r="ET12" s="18"/>
      <c r="EU12" s="18"/>
      <c r="EV12" s="18"/>
      <c r="FE12" s="18"/>
      <c r="FF12" s="18"/>
      <c r="FG12" s="18"/>
      <c r="FH12" s="18"/>
      <c r="FL12" s="20">
        <f t="shared" si="4"/>
        <v>6</v>
      </c>
      <c r="FM12" s="21">
        <v>0</v>
      </c>
      <c r="FN12" s="22" t="s">
        <v>45</v>
      </c>
      <c r="FO12" s="23" t="s">
        <v>39</v>
      </c>
      <c r="FP12" s="22" t="s">
        <v>42</v>
      </c>
      <c r="FQ12" s="25">
        <v>55</v>
      </c>
      <c r="FR12" s="25" t="s">
        <v>312</v>
      </c>
      <c r="FS12" s="34">
        <f>12*10</f>
        <v>120</v>
      </c>
      <c r="FT12" s="34"/>
      <c r="FU12" s="27"/>
      <c r="FV12" s="28" t="s">
        <v>172</v>
      </c>
      <c r="FX12" s="20">
        <f t="shared" si="5"/>
        <v>6</v>
      </c>
      <c r="FY12" s="21">
        <v>0</v>
      </c>
      <c r="FZ12" s="22" t="s">
        <v>45</v>
      </c>
      <c r="GA12" s="23" t="s">
        <v>39</v>
      </c>
      <c r="GB12" s="22" t="s">
        <v>42</v>
      </c>
      <c r="GC12" s="25">
        <v>55</v>
      </c>
      <c r="GD12" s="25" t="s">
        <v>312</v>
      </c>
      <c r="GE12" s="34">
        <f>120*7</f>
        <v>840</v>
      </c>
      <c r="GF12" s="34"/>
      <c r="GG12" s="27"/>
      <c r="GH12" s="28" t="s">
        <v>173</v>
      </c>
      <c r="GO12" s="18"/>
      <c r="GP12" s="18"/>
      <c r="GQ12" s="18"/>
      <c r="GR12" s="18"/>
      <c r="HA12" s="18"/>
      <c r="HB12" s="18"/>
      <c r="HC12" s="18"/>
      <c r="HD12" s="18"/>
      <c r="HH12" s="20">
        <f t="shared" si="6"/>
        <v>6</v>
      </c>
      <c r="HI12" s="21">
        <v>0</v>
      </c>
      <c r="HJ12" s="22" t="s">
        <v>45</v>
      </c>
      <c r="HK12" s="23" t="s">
        <v>39</v>
      </c>
      <c r="HL12" s="22" t="s">
        <v>42</v>
      </c>
      <c r="HM12" s="25">
        <v>220</v>
      </c>
      <c r="HN12" s="25" t="s">
        <v>312</v>
      </c>
      <c r="HO12" s="34">
        <f>7*10</f>
        <v>70</v>
      </c>
      <c r="HP12" s="34"/>
      <c r="HQ12" s="27"/>
      <c r="HR12" s="28" t="s">
        <v>174</v>
      </c>
      <c r="HT12" s="20">
        <f t="shared" si="7"/>
        <v>6</v>
      </c>
      <c r="HU12" s="21">
        <v>0</v>
      </c>
      <c r="HV12" s="22" t="s">
        <v>45</v>
      </c>
      <c r="HW12" s="23" t="s">
        <v>39</v>
      </c>
      <c r="HX12" s="22" t="s">
        <v>42</v>
      </c>
      <c r="HY12" s="25">
        <v>2600</v>
      </c>
      <c r="HZ12" s="25" t="s">
        <v>312</v>
      </c>
      <c r="IA12" s="34">
        <f>240*15</f>
        <v>3600</v>
      </c>
      <c r="IB12" s="34"/>
      <c r="IC12" s="27"/>
      <c r="ID12" s="45" t="s">
        <v>175</v>
      </c>
      <c r="IF12" s="20">
        <f t="shared" si="8"/>
        <v>6</v>
      </c>
      <c r="IG12" s="21">
        <v>0</v>
      </c>
      <c r="IH12" s="22" t="s">
        <v>45</v>
      </c>
      <c r="II12" s="23" t="s">
        <v>39</v>
      </c>
      <c r="IJ12" s="22" t="s">
        <v>42</v>
      </c>
      <c r="IK12" s="25">
        <v>3000</v>
      </c>
      <c r="IL12" s="25" t="s">
        <v>312</v>
      </c>
      <c r="IM12" s="34">
        <f>180*148</f>
        <v>26640</v>
      </c>
      <c r="IN12" s="35">
        <v>250</v>
      </c>
      <c r="IO12" s="27"/>
      <c r="IP12" s="28" t="s">
        <v>176</v>
      </c>
      <c r="IR12" s="20">
        <f t="shared" si="9"/>
        <v>6</v>
      </c>
      <c r="IS12" s="21">
        <v>0</v>
      </c>
      <c r="IT12" s="22" t="s">
        <v>38</v>
      </c>
      <c r="IU12" s="23" t="s">
        <v>39</v>
      </c>
      <c r="IV12" s="32" t="s">
        <v>59</v>
      </c>
      <c r="IW12" s="25">
        <v>10000</v>
      </c>
      <c r="IX12" s="25" t="s">
        <v>337</v>
      </c>
      <c r="IY12" s="34">
        <f>8100</f>
        <v>8100</v>
      </c>
      <c r="IZ12" s="35">
        <v>150</v>
      </c>
      <c r="JA12" s="27"/>
      <c r="JB12" s="28" t="s">
        <v>177</v>
      </c>
      <c r="JD12" s="20">
        <f t="shared" si="10"/>
        <v>6</v>
      </c>
      <c r="JE12" s="21">
        <v>0</v>
      </c>
      <c r="JF12" s="22" t="s">
        <v>45</v>
      </c>
      <c r="JG12" s="23" t="s">
        <v>39</v>
      </c>
      <c r="JH12" s="22" t="s">
        <v>42</v>
      </c>
      <c r="JI12" s="25">
        <v>1550</v>
      </c>
      <c r="JJ12" s="25" t="s">
        <v>312</v>
      </c>
      <c r="JK12" s="34">
        <f>180*10</f>
        <v>1800</v>
      </c>
      <c r="JL12" s="35">
        <v>1010</v>
      </c>
      <c r="JM12" s="27"/>
      <c r="JN12" s="28" t="s">
        <v>178</v>
      </c>
      <c r="JP12" s="20">
        <f t="shared" si="11"/>
        <v>6</v>
      </c>
      <c r="JQ12" s="21">
        <v>0</v>
      </c>
      <c r="JR12" s="22" t="s">
        <v>45</v>
      </c>
      <c r="JS12" s="23" t="s">
        <v>39</v>
      </c>
      <c r="JT12" s="22" t="s">
        <v>42</v>
      </c>
      <c r="JU12" s="25">
        <v>50</v>
      </c>
      <c r="JV12" s="25" t="s">
        <v>312</v>
      </c>
      <c r="JW12" s="34">
        <f>2*20</f>
        <v>40</v>
      </c>
      <c r="JX12" s="34"/>
      <c r="JY12" s="27"/>
      <c r="JZ12" s="28" t="s">
        <v>179</v>
      </c>
      <c r="KB12" s="20">
        <f t="shared" si="12"/>
        <v>6</v>
      </c>
      <c r="KC12" s="21">
        <v>0</v>
      </c>
      <c r="KD12" s="22" t="s">
        <v>38</v>
      </c>
      <c r="KE12" s="23" t="s">
        <v>39</v>
      </c>
      <c r="KF12" s="22" t="s">
        <v>42</v>
      </c>
      <c r="KG12" s="25">
        <v>3900</v>
      </c>
      <c r="KH12" s="25" t="s">
        <v>56</v>
      </c>
      <c r="KI12" s="34">
        <f>100*123</f>
        <v>12300</v>
      </c>
      <c r="KJ12" s="35">
        <v>100</v>
      </c>
      <c r="KK12" s="27"/>
      <c r="KL12" s="28" t="s">
        <v>180</v>
      </c>
      <c r="KN12" s="20">
        <f t="shared" si="13"/>
        <v>6</v>
      </c>
      <c r="KO12" s="21">
        <v>0</v>
      </c>
      <c r="KP12" s="22" t="s">
        <v>38</v>
      </c>
      <c r="KQ12" s="23" t="s">
        <v>39</v>
      </c>
      <c r="KR12" s="32" t="s">
        <v>59</v>
      </c>
      <c r="KS12" s="25">
        <v>7500</v>
      </c>
      <c r="KT12" s="25" t="s">
        <v>69</v>
      </c>
      <c r="KU12" s="36"/>
      <c r="KV12" s="36">
        <v>100</v>
      </c>
      <c r="KW12" s="27"/>
      <c r="KX12" s="28" t="s">
        <v>181</v>
      </c>
      <c r="KZ12" s="20">
        <f t="shared" si="14"/>
        <v>6</v>
      </c>
      <c r="LA12" s="21">
        <v>0</v>
      </c>
      <c r="LB12" s="22" t="s">
        <v>45</v>
      </c>
      <c r="LC12" s="23" t="s">
        <v>39</v>
      </c>
      <c r="LD12" s="22" t="s">
        <v>42</v>
      </c>
      <c r="LE12" s="25">
        <v>600</v>
      </c>
      <c r="LF12" s="25" t="s">
        <v>40</v>
      </c>
      <c r="LG12" s="34">
        <f>24*15</f>
        <v>360</v>
      </c>
      <c r="LH12" s="35">
        <v>6850</v>
      </c>
      <c r="LI12" s="27"/>
      <c r="LJ12" s="28" t="s">
        <v>182</v>
      </c>
    </row>
    <row r="13" spans="1:420" ht="135" customHeight="1">
      <c r="BT13" s="20">
        <f t="shared" si="0"/>
        <v>7</v>
      </c>
      <c r="BU13" s="21">
        <v>0</v>
      </c>
      <c r="BV13" s="22" t="s">
        <v>45</v>
      </c>
      <c r="BW13" s="23" t="s">
        <v>39</v>
      </c>
      <c r="BX13" s="22" t="s">
        <v>42</v>
      </c>
      <c r="BY13" s="25">
        <v>2</v>
      </c>
      <c r="BZ13" s="25" t="s">
        <v>312</v>
      </c>
      <c r="CA13" s="26" t="s">
        <v>40</v>
      </c>
      <c r="CB13" s="26"/>
      <c r="CC13" s="27"/>
      <c r="CD13" s="28" t="s">
        <v>184</v>
      </c>
      <c r="CF13" s="20">
        <f t="shared" si="1"/>
        <v>7</v>
      </c>
      <c r="CG13" s="21">
        <v>0</v>
      </c>
      <c r="CH13" s="22" t="s">
        <v>45</v>
      </c>
      <c r="CI13" s="23" t="s">
        <v>39</v>
      </c>
      <c r="CJ13" s="22" t="s">
        <v>42</v>
      </c>
      <c r="CK13" s="25">
        <v>10</v>
      </c>
      <c r="CL13" s="25" t="s">
        <v>312</v>
      </c>
      <c r="CM13" s="26" t="s">
        <v>40</v>
      </c>
      <c r="CN13" s="26"/>
      <c r="CO13" s="49"/>
      <c r="CP13" s="28" t="s">
        <v>185</v>
      </c>
      <c r="DI13" s="18"/>
      <c r="DJ13" s="18"/>
      <c r="DK13" s="18"/>
      <c r="DL13" s="18"/>
      <c r="DP13" s="20">
        <f t="shared" si="2"/>
        <v>7</v>
      </c>
      <c r="DQ13" s="21">
        <v>0</v>
      </c>
      <c r="DR13" s="22" t="s">
        <v>45</v>
      </c>
      <c r="DS13" s="23" t="s">
        <v>39</v>
      </c>
      <c r="DT13" s="22" t="s">
        <v>42</v>
      </c>
      <c r="DU13" s="25">
        <v>80</v>
      </c>
      <c r="DV13" s="25" t="s">
        <v>312</v>
      </c>
      <c r="DW13" s="34">
        <f>5*15</f>
        <v>75</v>
      </c>
      <c r="DX13" s="35">
        <v>34625</v>
      </c>
      <c r="DY13" s="27"/>
      <c r="DZ13" s="28" t="s">
        <v>186</v>
      </c>
      <c r="EG13" s="18"/>
      <c r="EH13" s="18"/>
      <c r="EI13" s="18"/>
      <c r="EJ13" s="18"/>
      <c r="ES13" s="18"/>
      <c r="ET13" s="18"/>
      <c r="EU13" s="18"/>
      <c r="EV13" s="18"/>
      <c r="FE13" s="18"/>
      <c r="FF13" s="18"/>
      <c r="FG13" s="18"/>
      <c r="FH13" s="18"/>
      <c r="FL13" s="20">
        <f t="shared" si="4"/>
        <v>7</v>
      </c>
      <c r="FM13" s="21">
        <v>0</v>
      </c>
      <c r="FN13" s="22" t="s">
        <v>45</v>
      </c>
      <c r="FO13" s="23" t="s">
        <v>39</v>
      </c>
      <c r="FP13" s="22" t="s">
        <v>42</v>
      </c>
      <c r="FQ13" s="25">
        <v>40</v>
      </c>
      <c r="FR13" s="25" t="s">
        <v>312</v>
      </c>
      <c r="FS13" s="34">
        <f>72*10</f>
        <v>720</v>
      </c>
      <c r="FT13" s="34"/>
      <c r="FU13" s="27"/>
      <c r="FV13" s="28" t="s">
        <v>187</v>
      </c>
      <c r="FX13" s="20">
        <f t="shared" si="5"/>
        <v>7</v>
      </c>
      <c r="FY13" s="21">
        <v>0</v>
      </c>
      <c r="FZ13" s="22" t="s">
        <v>45</v>
      </c>
      <c r="GA13" s="23" t="s">
        <v>39</v>
      </c>
      <c r="GB13" s="22" t="s">
        <v>42</v>
      </c>
      <c r="GC13" s="25">
        <v>100</v>
      </c>
      <c r="GD13" s="25" t="s">
        <v>312</v>
      </c>
      <c r="GE13" s="34">
        <f>12*12</f>
        <v>144</v>
      </c>
      <c r="GF13" s="34"/>
      <c r="GG13" s="27"/>
      <c r="GH13" s="28" t="s">
        <v>188</v>
      </c>
      <c r="GO13" s="18"/>
      <c r="GP13" s="18"/>
      <c r="GQ13" s="18"/>
      <c r="GR13" s="18"/>
      <c r="HA13" s="18"/>
      <c r="HB13" s="18"/>
      <c r="HC13" s="18"/>
      <c r="HD13" s="18"/>
      <c r="HH13" s="20">
        <f t="shared" si="6"/>
        <v>7</v>
      </c>
      <c r="HI13" s="21">
        <v>0</v>
      </c>
      <c r="HJ13" s="22" t="s">
        <v>45</v>
      </c>
      <c r="HK13" s="23" t="s">
        <v>39</v>
      </c>
      <c r="HL13" s="22" t="s">
        <v>42</v>
      </c>
      <c r="HM13" s="25">
        <v>75</v>
      </c>
      <c r="HN13" s="25" t="s">
        <v>312</v>
      </c>
      <c r="HO13" s="34">
        <f>24*2</f>
        <v>48</v>
      </c>
      <c r="HP13" s="34"/>
      <c r="HQ13" s="27"/>
      <c r="HR13" s="28" t="s">
        <v>189</v>
      </c>
      <c r="HT13" s="20">
        <f t="shared" si="7"/>
        <v>7</v>
      </c>
      <c r="HU13" s="21">
        <v>0</v>
      </c>
      <c r="HV13" s="22" t="s">
        <v>45</v>
      </c>
      <c r="HW13" s="23" t="s">
        <v>39</v>
      </c>
      <c r="HX13" s="22" t="s">
        <v>42</v>
      </c>
      <c r="HY13" s="25">
        <v>500</v>
      </c>
      <c r="HZ13" s="25" t="s">
        <v>312</v>
      </c>
      <c r="IA13" s="34">
        <f>44*10</f>
        <v>440</v>
      </c>
      <c r="IB13" s="34"/>
      <c r="IC13" s="27"/>
      <c r="ID13" s="45" t="s">
        <v>190</v>
      </c>
      <c r="IF13" s="20">
        <f t="shared" si="8"/>
        <v>7</v>
      </c>
      <c r="IG13" s="21">
        <v>0</v>
      </c>
      <c r="IH13" s="22" t="s">
        <v>45</v>
      </c>
      <c r="II13" s="23" t="s">
        <v>39</v>
      </c>
      <c r="IJ13" s="22" t="s">
        <v>42</v>
      </c>
      <c r="IK13" s="25">
        <v>10</v>
      </c>
      <c r="IL13" s="25" t="s">
        <v>312</v>
      </c>
      <c r="IM13" s="26" t="s">
        <v>40</v>
      </c>
      <c r="IN13" s="30"/>
      <c r="IO13" s="27"/>
      <c r="IP13" s="28" t="s">
        <v>191</v>
      </c>
      <c r="IR13" s="20">
        <f t="shared" si="9"/>
        <v>7</v>
      </c>
      <c r="IS13" s="21">
        <v>0</v>
      </c>
      <c r="IT13" s="22" t="s">
        <v>38</v>
      </c>
      <c r="IU13" s="23" t="s">
        <v>39</v>
      </c>
      <c r="IV13" s="32" t="s">
        <v>59</v>
      </c>
      <c r="IW13" s="25">
        <v>5500</v>
      </c>
      <c r="IX13" s="25" t="s">
        <v>69</v>
      </c>
      <c r="IY13" s="34">
        <f>90*20</f>
        <v>1800</v>
      </c>
      <c r="IZ13" s="35">
        <v>675</v>
      </c>
      <c r="JA13" s="27"/>
      <c r="JB13" s="28" t="s">
        <v>192</v>
      </c>
      <c r="JD13" s="20">
        <f t="shared" si="10"/>
        <v>7</v>
      </c>
      <c r="JE13" s="21">
        <v>0</v>
      </c>
      <c r="JF13" s="22" t="s">
        <v>45</v>
      </c>
      <c r="JG13" s="23" t="s">
        <v>39</v>
      </c>
      <c r="JH13" s="22" t="s">
        <v>42</v>
      </c>
      <c r="JI13" s="25">
        <v>1200</v>
      </c>
      <c r="JJ13" s="25" t="s">
        <v>312</v>
      </c>
      <c r="JK13" s="34">
        <f>72*20</f>
        <v>1440</v>
      </c>
      <c r="JL13" s="35">
        <v>920</v>
      </c>
      <c r="JM13" s="27"/>
      <c r="JN13" s="28" t="s">
        <v>193</v>
      </c>
      <c r="JP13" s="20">
        <f t="shared" si="11"/>
        <v>7</v>
      </c>
      <c r="JQ13" s="21">
        <v>0</v>
      </c>
      <c r="JR13" s="22" t="s">
        <v>45</v>
      </c>
      <c r="JS13" s="23" t="s">
        <v>39</v>
      </c>
      <c r="JT13" s="22" t="s">
        <v>42</v>
      </c>
      <c r="JU13" s="25">
        <v>200</v>
      </c>
      <c r="JV13" s="25" t="s">
        <v>312</v>
      </c>
      <c r="JW13" s="34">
        <f>24*20</f>
        <v>480</v>
      </c>
      <c r="JX13" s="34"/>
      <c r="JY13" s="27"/>
      <c r="JZ13" s="28" t="s">
        <v>194</v>
      </c>
      <c r="KB13" s="20">
        <f t="shared" si="12"/>
        <v>7</v>
      </c>
      <c r="KC13" s="21">
        <v>0</v>
      </c>
      <c r="KD13" s="22" t="s">
        <v>45</v>
      </c>
      <c r="KE13" s="23" t="s">
        <v>39</v>
      </c>
      <c r="KF13" s="22" t="s">
        <v>42</v>
      </c>
      <c r="KG13" s="25">
        <v>150</v>
      </c>
      <c r="KH13" s="25" t="s">
        <v>312</v>
      </c>
      <c r="KI13" s="34">
        <f>4*20</f>
        <v>80</v>
      </c>
      <c r="KJ13" s="35">
        <v>18500</v>
      </c>
      <c r="KK13" s="27"/>
      <c r="KL13" s="28" t="s">
        <v>195</v>
      </c>
      <c r="KN13" s="20">
        <f t="shared" si="13"/>
        <v>7</v>
      </c>
      <c r="KO13" s="21">
        <v>0</v>
      </c>
      <c r="KP13" s="22" t="s">
        <v>38</v>
      </c>
      <c r="KQ13" s="23" t="s">
        <v>39</v>
      </c>
      <c r="KR13" s="32" t="s">
        <v>59</v>
      </c>
      <c r="KS13" s="25">
        <v>50</v>
      </c>
      <c r="KT13" s="25" t="s">
        <v>69</v>
      </c>
      <c r="KU13" s="26" t="s">
        <v>40</v>
      </c>
      <c r="KV13" s="26"/>
      <c r="KW13" s="27"/>
      <c r="KX13" s="28" t="s">
        <v>196</v>
      </c>
      <c r="LN13"/>
    </row>
    <row r="14" spans="1:420" ht="135" customHeight="1">
      <c r="BT14" s="20">
        <f t="shared" si="0"/>
        <v>8</v>
      </c>
      <c r="BU14" s="21">
        <v>0</v>
      </c>
      <c r="BV14" s="22" t="s">
        <v>45</v>
      </c>
      <c r="BW14" s="23" t="s">
        <v>39</v>
      </c>
      <c r="BX14" s="22" t="s">
        <v>42</v>
      </c>
      <c r="BY14" s="25">
        <v>5</v>
      </c>
      <c r="BZ14" s="25" t="s">
        <v>312</v>
      </c>
      <c r="CA14" s="26" t="s">
        <v>40</v>
      </c>
      <c r="CB14" s="26"/>
      <c r="CC14" s="27"/>
      <c r="CD14" s="28" t="s">
        <v>199</v>
      </c>
      <c r="CF14" s="20">
        <f t="shared" si="1"/>
        <v>8</v>
      </c>
      <c r="CG14" s="21">
        <v>0</v>
      </c>
      <c r="CH14" s="22" t="s">
        <v>45</v>
      </c>
      <c r="CI14" s="23" t="s">
        <v>39</v>
      </c>
      <c r="CJ14" s="22" t="s">
        <v>42</v>
      </c>
      <c r="CK14" s="25">
        <v>25</v>
      </c>
      <c r="CL14" s="25" t="s">
        <v>312</v>
      </c>
      <c r="CM14" s="26" t="s">
        <v>40</v>
      </c>
      <c r="CN14" s="26"/>
      <c r="CO14" s="27"/>
      <c r="CP14" s="28" t="s">
        <v>200</v>
      </c>
      <c r="DI14" s="18"/>
      <c r="DJ14" s="18"/>
      <c r="DK14" s="18"/>
      <c r="DL14" s="18"/>
      <c r="DU14" s="18"/>
      <c r="DV14" s="18"/>
      <c r="DW14" s="18"/>
      <c r="DX14" s="50"/>
      <c r="EG14" s="18"/>
      <c r="EH14" s="18"/>
      <c r="EI14" s="18"/>
      <c r="EJ14" s="18"/>
      <c r="ES14" s="18"/>
      <c r="ET14" s="18"/>
      <c r="EU14" s="18"/>
      <c r="EV14" s="18"/>
      <c r="FE14" s="18"/>
      <c r="FF14" s="18"/>
      <c r="FG14" s="18"/>
      <c r="FH14" s="18"/>
      <c r="FQ14" s="18"/>
      <c r="FR14" s="18"/>
      <c r="FS14" s="18"/>
      <c r="FT14" s="18"/>
      <c r="FX14" s="20">
        <f t="shared" si="5"/>
        <v>8</v>
      </c>
      <c r="FY14" s="21">
        <v>0</v>
      </c>
      <c r="FZ14" s="22" t="s">
        <v>45</v>
      </c>
      <c r="GA14" s="23" t="s">
        <v>39</v>
      </c>
      <c r="GB14" s="22" t="s">
        <v>42</v>
      </c>
      <c r="GC14" s="25">
        <v>65</v>
      </c>
      <c r="GD14" s="25" t="s">
        <v>312</v>
      </c>
      <c r="GE14" s="34">
        <f>72*12</f>
        <v>864</v>
      </c>
      <c r="GF14" s="34"/>
      <c r="GG14" s="27"/>
      <c r="GH14" s="28" t="s">
        <v>201</v>
      </c>
      <c r="GO14" s="18"/>
      <c r="GP14" s="18"/>
      <c r="GQ14" s="18"/>
      <c r="GR14" s="18"/>
      <c r="HA14" s="18"/>
      <c r="HB14" s="18"/>
      <c r="HC14" s="18"/>
      <c r="HD14" s="18"/>
      <c r="HM14" s="18"/>
      <c r="HN14" s="18"/>
      <c r="HO14" s="18"/>
      <c r="HP14" s="18"/>
      <c r="HT14" s="20">
        <f t="shared" si="7"/>
        <v>8</v>
      </c>
      <c r="HU14" s="21">
        <v>0</v>
      </c>
      <c r="HV14" s="22" t="s">
        <v>45</v>
      </c>
      <c r="HW14" s="23" t="s">
        <v>39</v>
      </c>
      <c r="HX14" s="22" t="s">
        <v>42</v>
      </c>
      <c r="HY14" s="25">
        <v>50</v>
      </c>
      <c r="HZ14" s="25" t="s">
        <v>312</v>
      </c>
      <c r="IA14" s="34">
        <f>72*10</f>
        <v>720</v>
      </c>
      <c r="IB14" s="34"/>
      <c r="IC14" s="27"/>
      <c r="ID14" s="28" t="s">
        <v>202</v>
      </c>
      <c r="IF14" s="20">
        <f t="shared" si="8"/>
        <v>8</v>
      </c>
      <c r="IG14" s="21">
        <v>0</v>
      </c>
      <c r="IH14" s="22" t="s">
        <v>45</v>
      </c>
      <c r="II14" s="23" t="s">
        <v>39</v>
      </c>
      <c r="IJ14" s="22" t="s">
        <v>42</v>
      </c>
      <c r="IK14" s="25">
        <v>50</v>
      </c>
      <c r="IL14" s="25" t="s">
        <v>312</v>
      </c>
      <c r="IM14" s="34">
        <f>1*148</f>
        <v>148</v>
      </c>
      <c r="IN14" s="35">
        <v>2250</v>
      </c>
      <c r="IO14" s="27"/>
      <c r="IP14" s="28" t="s">
        <v>203</v>
      </c>
      <c r="JD14" s="20">
        <f t="shared" si="10"/>
        <v>8</v>
      </c>
      <c r="JE14" s="21">
        <v>0</v>
      </c>
      <c r="JF14" s="22" t="s">
        <v>45</v>
      </c>
      <c r="JG14" s="23" t="s">
        <v>39</v>
      </c>
      <c r="JH14" s="22" t="s">
        <v>42</v>
      </c>
      <c r="JI14" s="25">
        <v>2100</v>
      </c>
      <c r="JJ14" s="25" t="s">
        <v>312</v>
      </c>
      <c r="JK14" s="34">
        <f>288*10</f>
        <v>2880</v>
      </c>
      <c r="JL14" s="35">
        <v>850</v>
      </c>
      <c r="JM14" s="27"/>
      <c r="JN14" s="28" t="s">
        <v>204</v>
      </c>
      <c r="JP14" s="20">
        <f t="shared" si="11"/>
        <v>8</v>
      </c>
      <c r="JQ14" s="21">
        <v>0</v>
      </c>
      <c r="JR14" s="22" t="s">
        <v>45</v>
      </c>
      <c r="JS14" s="23" t="s">
        <v>39</v>
      </c>
      <c r="JT14" s="22" t="s">
        <v>42</v>
      </c>
      <c r="JU14" s="25">
        <v>1500</v>
      </c>
      <c r="JV14" s="25" t="s">
        <v>312</v>
      </c>
      <c r="JW14" s="34">
        <f>288*10</f>
        <v>2880</v>
      </c>
      <c r="JX14" s="34"/>
      <c r="JY14" s="27"/>
      <c r="JZ14" s="28" t="s">
        <v>205</v>
      </c>
      <c r="KB14" s="20">
        <f t="shared" si="12"/>
        <v>8</v>
      </c>
      <c r="KC14" s="21">
        <v>0</v>
      </c>
      <c r="KD14" s="22" t="s">
        <v>45</v>
      </c>
      <c r="KE14" s="23" t="s">
        <v>39</v>
      </c>
      <c r="KF14" s="22" t="s">
        <v>42</v>
      </c>
      <c r="KG14" s="25">
        <v>1200</v>
      </c>
      <c r="KH14" s="25" t="s">
        <v>312</v>
      </c>
      <c r="KI14" s="34">
        <f>36*20</f>
        <v>720</v>
      </c>
      <c r="KJ14" s="35">
        <v>3840</v>
      </c>
      <c r="KK14" s="27"/>
      <c r="KL14" s="28" t="s">
        <v>206</v>
      </c>
      <c r="KN14" s="20">
        <f t="shared" si="13"/>
        <v>8</v>
      </c>
      <c r="KO14" s="21">
        <v>0</v>
      </c>
      <c r="KP14" s="22" t="s">
        <v>38</v>
      </c>
      <c r="KQ14" s="23" t="s">
        <v>39</v>
      </c>
      <c r="KR14" s="32" t="s">
        <v>59</v>
      </c>
      <c r="KS14" s="25">
        <v>8750</v>
      </c>
      <c r="KT14" s="25" t="s">
        <v>69</v>
      </c>
      <c r="KU14" s="36"/>
      <c r="KV14" s="36">
        <v>100</v>
      </c>
      <c r="KW14" s="27"/>
      <c r="KX14" s="28" t="s">
        <v>207</v>
      </c>
    </row>
    <row r="15" spans="1:420" ht="135" customHeight="1">
      <c r="BT15" s="20">
        <f t="shared" si="0"/>
        <v>9</v>
      </c>
      <c r="BU15" s="21">
        <v>0</v>
      </c>
      <c r="BV15" s="22" t="s">
        <v>45</v>
      </c>
      <c r="BW15" s="23" t="s">
        <v>39</v>
      </c>
      <c r="BX15" s="22" t="s">
        <v>42</v>
      </c>
      <c r="BY15" s="25">
        <v>20</v>
      </c>
      <c r="BZ15" s="25" t="s">
        <v>312</v>
      </c>
      <c r="CA15" s="34">
        <v>60</v>
      </c>
      <c r="CB15" s="26"/>
      <c r="CC15" s="27"/>
      <c r="CD15" s="28" t="s">
        <v>208</v>
      </c>
      <c r="CF15" s="20">
        <f t="shared" si="1"/>
        <v>9</v>
      </c>
      <c r="CG15" s="21">
        <v>0</v>
      </c>
      <c r="CH15" s="22" t="s">
        <v>45</v>
      </c>
      <c r="CI15" s="23" t="s">
        <v>39</v>
      </c>
      <c r="CJ15" s="22" t="s">
        <v>42</v>
      </c>
      <c r="CK15" s="25">
        <v>15</v>
      </c>
      <c r="CL15" s="25" t="s">
        <v>312</v>
      </c>
      <c r="CM15" s="26" t="s">
        <v>40</v>
      </c>
      <c r="CN15" s="26"/>
      <c r="CO15" s="27"/>
      <c r="CP15" s="28" t="s">
        <v>209</v>
      </c>
      <c r="DI15" s="18"/>
      <c r="DJ15" s="18"/>
      <c r="DK15" s="18"/>
      <c r="DL15" s="18"/>
      <c r="DU15" s="18"/>
      <c r="DV15" s="18"/>
      <c r="DW15" s="18"/>
      <c r="DX15" s="50"/>
      <c r="EG15" s="18"/>
      <c r="EH15" s="18"/>
      <c r="EI15" s="18"/>
      <c r="EJ15" s="18"/>
      <c r="ES15" s="18"/>
      <c r="ET15" s="18"/>
      <c r="EU15" s="18"/>
      <c r="EV15" s="18"/>
      <c r="FE15" s="18"/>
      <c r="FF15" s="18"/>
      <c r="FG15" s="18"/>
      <c r="FH15" s="18"/>
      <c r="FQ15" s="18"/>
      <c r="FR15" s="18"/>
      <c r="FS15" s="18"/>
      <c r="FT15" s="18"/>
      <c r="FX15" s="20">
        <f t="shared" si="5"/>
        <v>9</v>
      </c>
      <c r="FY15" s="21">
        <v>0</v>
      </c>
      <c r="FZ15" s="22" t="s">
        <v>45</v>
      </c>
      <c r="GA15" s="23" t="s">
        <v>39</v>
      </c>
      <c r="GB15" s="22" t="s">
        <v>42</v>
      </c>
      <c r="GC15" s="25">
        <v>200</v>
      </c>
      <c r="GD15" s="25" t="s">
        <v>312</v>
      </c>
      <c r="GE15" s="34">
        <f>24*12</f>
        <v>288</v>
      </c>
      <c r="GF15" s="34"/>
      <c r="GG15" s="27"/>
      <c r="GH15" s="28" t="s">
        <v>210</v>
      </c>
      <c r="GO15" s="18"/>
      <c r="GP15" s="18"/>
      <c r="GQ15" s="18"/>
      <c r="GR15" s="18"/>
      <c r="HA15" s="18"/>
      <c r="HB15" s="18"/>
      <c r="HC15" s="18"/>
      <c r="HD15" s="18"/>
      <c r="HM15" s="18"/>
      <c r="HN15" s="18"/>
      <c r="HO15" s="18"/>
      <c r="HP15" s="18"/>
      <c r="HY15" s="18"/>
      <c r="HZ15" s="18"/>
      <c r="IA15" s="18"/>
      <c r="IB15" s="18"/>
      <c r="IF15" s="20">
        <f t="shared" si="8"/>
        <v>9</v>
      </c>
      <c r="IG15" s="21">
        <v>0</v>
      </c>
      <c r="IH15" s="22" t="s">
        <v>45</v>
      </c>
      <c r="II15" s="23" t="s">
        <v>39</v>
      </c>
      <c r="IJ15" s="22" t="s">
        <v>42</v>
      </c>
      <c r="IK15" s="25">
        <v>3000</v>
      </c>
      <c r="IL15" s="25" t="s">
        <v>312</v>
      </c>
      <c r="IM15" s="34">
        <f>180*148</f>
        <v>26640</v>
      </c>
      <c r="IN15" s="35">
        <v>250</v>
      </c>
      <c r="IO15" s="27"/>
      <c r="IP15" s="28" t="s">
        <v>211</v>
      </c>
      <c r="JD15" s="20">
        <f t="shared" si="10"/>
        <v>9</v>
      </c>
      <c r="JE15" s="21">
        <v>0</v>
      </c>
      <c r="JF15" s="22" t="s">
        <v>45</v>
      </c>
      <c r="JG15" s="23" t="s">
        <v>39</v>
      </c>
      <c r="JH15" s="22" t="s">
        <v>42</v>
      </c>
      <c r="JI15" s="25">
        <v>650</v>
      </c>
      <c r="JJ15" s="25" t="s">
        <v>312</v>
      </c>
      <c r="JK15" s="34">
        <f>96*10</f>
        <v>960</v>
      </c>
      <c r="JL15" s="35">
        <v>2560</v>
      </c>
      <c r="JM15" s="27"/>
      <c r="JN15" s="28" t="s">
        <v>212</v>
      </c>
      <c r="JP15" s="20">
        <f t="shared" si="11"/>
        <v>9</v>
      </c>
      <c r="JQ15" s="21">
        <v>0</v>
      </c>
      <c r="JR15" s="22" t="s">
        <v>45</v>
      </c>
      <c r="JS15" s="23" t="s">
        <v>39</v>
      </c>
      <c r="JT15" s="22" t="s">
        <v>42</v>
      </c>
      <c r="JU15" s="25">
        <v>150</v>
      </c>
      <c r="JV15" s="25" t="s">
        <v>312</v>
      </c>
      <c r="JW15" s="34">
        <f>18*10</f>
        <v>180</v>
      </c>
      <c r="JX15" s="34"/>
      <c r="JY15" s="27"/>
      <c r="JZ15" s="28" t="s">
        <v>213</v>
      </c>
      <c r="KB15" s="20">
        <f t="shared" si="12"/>
        <v>9</v>
      </c>
      <c r="KC15" s="21">
        <v>0</v>
      </c>
      <c r="KD15" s="22" t="s">
        <v>45</v>
      </c>
      <c r="KE15" s="23" t="s">
        <v>39</v>
      </c>
      <c r="KF15" s="22" t="s">
        <v>42</v>
      </c>
      <c r="KG15" s="25">
        <v>3400</v>
      </c>
      <c r="KH15" s="25" t="s">
        <v>312</v>
      </c>
      <c r="KI15" s="34">
        <f>288*20</f>
        <v>5760</v>
      </c>
      <c r="KJ15" s="35">
        <v>480</v>
      </c>
      <c r="KK15" s="27"/>
      <c r="KL15" s="28" t="s">
        <v>214</v>
      </c>
    </row>
    <row r="16" spans="1:420" ht="135" customHeight="1">
      <c r="BT16" s="20">
        <f t="shared" si="0"/>
        <v>10</v>
      </c>
      <c r="BU16" s="21">
        <v>0</v>
      </c>
      <c r="BV16" s="22" t="s">
        <v>45</v>
      </c>
      <c r="BW16" s="23" t="s">
        <v>39</v>
      </c>
      <c r="BX16" s="22" t="s">
        <v>84</v>
      </c>
      <c r="BY16" s="25">
        <v>100</v>
      </c>
      <c r="BZ16" s="25" t="s">
        <v>312</v>
      </c>
      <c r="CA16" s="26" t="s">
        <v>40</v>
      </c>
      <c r="CB16" s="26"/>
      <c r="CC16" s="27"/>
      <c r="CD16" s="28" t="s">
        <v>215</v>
      </c>
      <c r="CF16" s="20">
        <f t="shared" si="1"/>
        <v>10</v>
      </c>
      <c r="CG16" s="21">
        <v>0</v>
      </c>
      <c r="CH16" s="22" t="s">
        <v>45</v>
      </c>
      <c r="CI16" s="23" t="s">
        <v>39</v>
      </c>
      <c r="CJ16" s="22" t="s">
        <v>42</v>
      </c>
      <c r="CK16" s="25">
        <v>120</v>
      </c>
      <c r="CL16" s="25" t="s">
        <v>312</v>
      </c>
      <c r="CM16" s="34">
        <f>9*24</f>
        <v>216</v>
      </c>
      <c r="CN16" s="34"/>
      <c r="CO16" s="27"/>
      <c r="CP16" s="28" t="s">
        <v>216</v>
      </c>
      <c r="DI16" s="18"/>
      <c r="DJ16" s="18"/>
      <c r="DK16" s="18"/>
      <c r="DL16" s="18"/>
      <c r="DU16" s="18"/>
      <c r="DV16" s="18"/>
      <c r="DW16" s="18"/>
      <c r="DX16" s="50"/>
      <c r="EG16" s="18"/>
      <c r="EH16" s="18"/>
      <c r="EI16" s="18"/>
      <c r="EJ16" s="18"/>
      <c r="ES16" s="18"/>
      <c r="ET16" s="18"/>
      <c r="EU16" s="18"/>
      <c r="EV16" s="18"/>
      <c r="FE16" s="18"/>
      <c r="FF16" s="18"/>
      <c r="FG16" s="18"/>
      <c r="FH16" s="18"/>
      <c r="FQ16" s="18"/>
      <c r="FR16" s="18"/>
      <c r="FS16" s="18"/>
      <c r="FT16" s="18"/>
      <c r="FX16" s="20">
        <f t="shared" si="5"/>
        <v>10</v>
      </c>
      <c r="FY16" s="21">
        <v>0</v>
      </c>
      <c r="FZ16" s="22" t="s">
        <v>45</v>
      </c>
      <c r="GA16" s="23" t="s">
        <v>39</v>
      </c>
      <c r="GB16" s="22" t="s">
        <v>42</v>
      </c>
      <c r="GC16" s="25">
        <v>130</v>
      </c>
      <c r="GD16" s="25" t="s">
        <v>312</v>
      </c>
      <c r="GE16" s="34">
        <f>72*12</f>
        <v>864</v>
      </c>
      <c r="GF16" s="34"/>
      <c r="GG16" s="27"/>
      <c r="GH16" s="28" t="s">
        <v>217</v>
      </c>
      <c r="GO16" s="18"/>
      <c r="GP16" s="18"/>
      <c r="GQ16" s="18"/>
      <c r="GR16" s="18"/>
      <c r="HA16" s="18"/>
      <c r="HB16" s="18"/>
      <c r="HC16" s="18"/>
      <c r="HD16" s="18"/>
      <c r="HM16" s="18"/>
      <c r="HN16" s="18"/>
      <c r="HO16" s="18"/>
      <c r="HP16" s="18"/>
      <c r="HY16" s="18"/>
      <c r="HZ16" s="18"/>
      <c r="IA16" s="18"/>
      <c r="IB16" s="18"/>
      <c r="IF16" s="20">
        <f t="shared" si="8"/>
        <v>10</v>
      </c>
      <c r="IG16" s="21">
        <v>0</v>
      </c>
      <c r="IH16" s="22" t="s">
        <v>45</v>
      </c>
      <c r="II16" s="23" t="s">
        <v>39</v>
      </c>
      <c r="IJ16" s="22" t="s">
        <v>42</v>
      </c>
      <c r="IK16" s="25">
        <v>2550</v>
      </c>
      <c r="IL16" s="25" t="s">
        <v>312</v>
      </c>
      <c r="IM16" s="34">
        <f>180*15</f>
        <v>2700</v>
      </c>
      <c r="IN16" s="35">
        <v>740</v>
      </c>
      <c r="IO16" s="27"/>
      <c r="IP16" s="28" t="s">
        <v>218</v>
      </c>
      <c r="JD16" s="20">
        <f t="shared" si="10"/>
        <v>10</v>
      </c>
      <c r="JE16" s="21">
        <v>0</v>
      </c>
      <c r="JF16" s="22" t="s">
        <v>45</v>
      </c>
      <c r="JG16" s="23" t="s">
        <v>39</v>
      </c>
      <c r="JH16" s="22" t="s">
        <v>42</v>
      </c>
      <c r="JI16" s="25">
        <v>200</v>
      </c>
      <c r="JJ16" s="25" t="s">
        <v>312</v>
      </c>
      <c r="JK16" s="34">
        <f>100*10</f>
        <v>1000</v>
      </c>
      <c r="JL16" s="35">
        <v>2460</v>
      </c>
      <c r="JM16" s="27"/>
      <c r="JN16" s="28" t="s">
        <v>219</v>
      </c>
      <c r="JP16" s="20">
        <f t="shared" si="11"/>
        <v>10</v>
      </c>
      <c r="JQ16" s="21">
        <v>0</v>
      </c>
      <c r="JR16" s="22" t="s">
        <v>45</v>
      </c>
      <c r="JS16" s="23" t="s">
        <v>39</v>
      </c>
      <c r="JT16" s="22" t="s">
        <v>42</v>
      </c>
      <c r="JU16" s="25">
        <v>175</v>
      </c>
      <c r="JV16" s="25" t="s">
        <v>312</v>
      </c>
      <c r="JW16" s="34">
        <f>36*15</f>
        <v>540</v>
      </c>
      <c r="JX16" s="34"/>
      <c r="JY16" s="27"/>
      <c r="JZ16" s="28" t="s">
        <v>220</v>
      </c>
      <c r="KB16" s="20">
        <f t="shared" si="12"/>
        <v>10</v>
      </c>
      <c r="KC16" s="21">
        <v>0</v>
      </c>
      <c r="KD16" s="22" t="s">
        <v>45</v>
      </c>
      <c r="KE16" s="23" t="s">
        <v>39</v>
      </c>
      <c r="KF16" s="22" t="s">
        <v>42</v>
      </c>
      <c r="KG16" s="25">
        <v>2500</v>
      </c>
      <c r="KH16" s="25" t="s">
        <v>312</v>
      </c>
      <c r="KI16" s="34">
        <f>144*20</f>
        <v>2880</v>
      </c>
      <c r="KJ16" s="35">
        <v>895</v>
      </c>
      <c r="KK16" s="27"/>
      <c r="KL16" s="28" t="s">
        <v>221</v>
      </c>
    </row>
    <row r="17" spans="72:298" ht="135" customHeight="1">
      <c r="BT17" s="20">
        <f t="shared" si="0"/>
        <v>11</v>
      </c>
      <c r="BU17" s="21">
        <v>0</v>
      </c>
      <c r="BV17" s="22" t="s">
        <v>38</v>
      </c>
      <c r="BW17" s="23" t="s">
        <v>39</v>
      </c>
      <c r="BX17" s="24"/>
      <c r="BY17" s="25">
        <v>1500</v>
      </c>
      <c r="BZ17" s="25" t="s">
        <v>325</v>
      </c>
      <c r="CA17" s="26" t="s">
        <v>40</v>
      </c>
      <c r="CB17" s="26" t="s">
        <v>40</v>
      </c>
      <c r="CC17" s="27"/>
      <c r="CD17" s="28" t="s">
        <v>41</v>
      </c>
      <c r="CF17" s="20">
        <f t="shared" si="1"/>
        <v>11</v>
      </c>
      <c r="CG17" s="21">
        <v>0</v>
      </c>
      <c r="CH17" s="22" t="s">
        <v>45</v>
      </c>
      <c r="CI17" s="23" t="s">
        <v>39</v>
      </c>
      <c r="CJ17" s="22" t="s">
        <v>42</v>
      </c>
      <c r="CK17" s="25">
        <v>350</v>
      </c>
      <c r="CL17" s="25" t="s">
        <v>312</v>
      </c>
      <c r="CM17" s="34">
        <f>10*27</f>
        <v>270</v>
      </c>
      <c r="CN17" s="34"/>
      <c r="CO17" s="27"/>
      <c r="CP17" s="28" t="s">
        <v>222</v>
      </c>
      <c r="DI17" s="18"/>
      <c r="DJ17" s="18"/>
      <c r="DK17" s="18"/>
      <c r="DL17" s="18"/>
      <c r="DU17" s="18"/>
      <c r="DV17" s="18"/>
      <c r="DW17" s="18"/>
      <c r="DX17" s="50"/>
      <c r="EG17" s="18"/>
      <c r="EH17" s="18"/>
      <c r="EI17" s="18"/>
      <c r="EJ17" s="18"/>
      <c r="ES17" s="18"/>
      <c r="ET17" s="18"/>
      <c r="EU17" s="18"/>
      <c r="EV17" s="18"/>
      <c r="FE17" s="18"/>
      <c r="FF17" s="18"/>
      <c r="FG17" s="18"/>
      <c r="FH17" s="18"/>
      <c r="FQ17" s="18"/>
      <c r="FR17" s="18"/>
      <c r="FS17" s="18"/>
      <c r="FT17" s="18"/>
      <c r="GC17" s="18"/>
      <c r="GD17" s="18"/>
      <c r="GE17" s="18"/>
      <c r="GF17" s="18"/>
      <c r="GO17" s="18"/>
      <c r="GP17" s="18"/>
      <c r="GQ17" s="18"/>
      <c r="GR17" s="18"/>
      <c r="HA17" s="18"/>
      <c r="HB17" s="18"/>
      <c r="HC17" s="18"/>
      <c r="HD17" s="18"/>
      <c r="HM17" s="18"/>
      <c r="HN17" s="18"/>
      <c r="HO17" s="18"/>
      <c r="HP17" s="18"/>
      <c r="HY17" s="18"/>
      <c r="HZ17" s="18"/>
      <c r="IA17" s="18"/>
      <c r="IB17" s="18"/>
      <c r="IF17" s="20">
        <f t="shared" si="8"/>
        <v>11</v>
      </c>
      <c r="IG17" s="21">
        <v>0</v>
      </c>
      <c r="IH17" s="22" t="s">
        <v>45</v>
      </c>
      <c r="II17" s="23" t="s">
        <v>39</v>
      </c>
      <c r="IJ17" s="22" t="s">
        <v>42</v>
      </c>
      <c r="IK17" s="25">
        <v>1100</v>
      </c>
      <c r="IL17" s="25" t="s">
        <v>312</v>
      </c>
      <c r="IM17" s="34">
        <f>288*10</f>
        <v>2880</v>
      </c>
      <c r="IN17" s="35">
        <v>1285</v>
      </c>
      <c r="IO17" s="27"/>
      <c r="IP17" s="28" t="s">
        <v>223</v>
      </c>
      <c r="IW17" s="18"/>
      <c r="IX17" s="18"/>
      <c r="IY17" s="18"/>
      <c r="IZ17" s="50"/>
      <c r="JI17" s="18"/>
      <c r="JJ17" s="18"/>
      <c r="JK17" s="18"/>
      <c r="JL17" s="50"/>
      <c r="JP17" s="20">
        <f t="shared" si="11"/>
        <v>11</v>
      </c>
      <c r="JQ17" s="21">
        <v>0</v>
      </c>
      <c r="JR17" s="22" t="s">
        <v>45</v>
      </c>
      <c r="JS17" s="23" t="s">
        <v>39</v>
      </c>
      <c r="JT17" s="22" t="s">
        <v>42</v>
      </c>
      <c r="JU17" s="25">
        <v>250</v>
      </c>
      <c r="JV17" s="25" t="s">
        <v>312</v>
      </c>
      <c r="JW17" s="34">
        <f>36*12</f>
        <v>432</v>
      </c>
      <c r="JX17" s="34"/>
      <c r="JY17" s="27"/>
      <c r="JZ17" s="28" t="s">
        <v>224</v>
      </c>
      <c r="KB17" s="20">
        <f t="shared" si="12"/>
        <v>11</v>
      </c>
      <c r="KC17" s="21">
        <v>0</v>
      </c>
      <c r="KD17" s="22" t="s">
        <v>38</v>
      </c>
      <c r="KE17" s="23" t="s">
        <v>39</v>
      </c>
      <c r="KF17" s="22" t="s">
        <v>42</v>
      </c>
      <c r="KG17" s="25">
        <v>26500</v>
      </c>
      <c r="KH17" s="25" t="s">
        <v>56</v>
      </c>
      <c r="KI17" s="51">
        <v>29600</v>
      </c>
      <c r="KJ17" s="30">
        <v>90</v>
      </c>
      <c r="KK17" s="27"/>
      <c r="KL17" s="28" t="s">
        <v>225</v>
      </c>
    </row>
    <row r="18" spans="72:298" ht="135" customHeight="1">
      <c r="BT18" s="20">
        <f t="shared" si="0"/>
        <v>12</v>
      </c>
      <c r="BU18" s="21">
        <v>0</v>
      </c>
      <c r="BV18" s="22" t="s">
        <v>38</v>
      </c>
      <c r="BW18" s="23" t="s">
        <v>39</v>
      </c>
      <c r="BX18" s="24"/>
      <c r="BY18" s="25">
        <v>1500</v>
      </c>
      <c r="BZ18" s="25" t="s">
        <v>325</v>
      </c>
      <c r="CA18" s="26" t="s">
        <v>40</v>
      </c>
      <c r="CB18" s="26" t="s">
        <v>40</v>
      </c>
      <c r="CC18" s="27"/>
      <c r="CD18" s="28" t="s">
        <v>77</v>
      </c>
      <c r="CF18" s="20">
        <f t="shared" si="1"/>
        <v>12</v>
      </c>
      <c r="CG18" s="21">
        <v>0</v>
      </c>
      <c r="CH18" s="22" t="s">
        <v>45</v>
      </c>
      <c r="CI18" s="23" t="s">
        <v>39</v>
      </c>
      <c r="CJ18" s="22" t="s">
        <v>42</v>
      </c>
      <c r="CK18" s="25">
        <v>175</v>
      </c>
      <c r="CL18" s="25" t="s">
        <v>312</v>
      </c>
      <c r="CM18" s="34">
        <f>5*15</f>
        <v>75</v>
      </c>
      <c r="CN18" s="34"/>
      <c r="CO18" s="27"/>
      <c r="CP18" s="28" t="s">
        <v>226</v>
      </c>
      <c r="DI18" s="18"/>
      <c r="DJ18" s="18"/>
      <c r="DK18" s="18"/>
      <c r="DL18" s="18"/>
      <c r="DU18" s="18"/>
      <c r="DV18" s="18"/>
      <c r="DW18" s="18"/>
      <c r="DX18" s="50"/>
      <c r="EG18" s="18"/>
      <c r="EH18" s="18"/>
      <c r="EI18" s="18"/>
      <c r="EJ18" s="18"/>
      <c r="ES18" s="18"/>
      <c r="ET18" s="18"/>
      <c r="EU18" s="18"/>
      <c r="EV18" s="18"/>
      <c r="FE18" s="18"/>
      <c r="FF18" s="18"/>
      <c r="FG18" s="18"/>
      <c r="FH18" s="18"/>
      <c r="FQ18" s="18"/>
      <c r="FR18" s="18"/>
      <c r="FS18" s="18"/>
      <c r="FT18" s="18"/>
      <c r="GC18" s="18"/>
      <c r="GD18" s="18"/>
      <c r="GE18" s="18"/>
      <c r="GF18" s="18"/>
      <c r="GO18" s="18"/>
      <c r="GP18" s="18"/>
      <c r="GQ18" s="18"/>
      <c r="GR18" s="18"/>
      <c r="HA18" s="18"/>
      <c r="HB18" s="18"/>
      <c r="HC18" s="18"/>
      <c r="HD18" s="18"/>
      <c r="HM18" s="18"/>
      <c r="HN18" s="18"/>
      <c r="HO18" s="18"/>
      <c r="HP18" s="18"/>
      <c r="HY18" s="18"/>
      <c r="HZ18" s="18"/>
      <c r="IA18" s="18"/>
      <c r="IB18" s="18"/>
      <c r="IF18" s="20">
        <f t="shared" si="8"/>
        <v>12</v>
      </c>
      <c r="IG18" s="21">
        <v>0</v>
      </c>
      <c r="IH18" s="22" t="s">
        <v>45</v>
      </c>
      <c r="II18" s="23" t="s">
        <v>39</v>
      </c>
      <c r="IJ18" s="22" t="s">
        <v>42</v>
      </c>
      <c r="IK18" s="25">
        <v>750</v>
      </c>
      <c r="IL18" s="25" t="s">
        <v>312</v>
      </c>
      <c r="IM18" s="34">
        <f>24*29</f>
        <v>696</v>
      </c>
      <c r="IN18" s="35">
        <v>2880</v>
      </c>
      <c r="IO18" s="27"/>
      <c r="IP18" s="28" t="s">
        <v>227</v>
      </c>
      <c r="IW18" s="18"/>
      <c r="IX18" s="18"/>
      <c r="IY18" s="18"/>
      <c r="IZ18" s="50"/>
      <c r="JI18" s="18"/>
      <c r="JJ18" s="18"/>
      <c r="JK18" s="18"/>
      <c r="JL18" s="50"/>
      <c r="JP18" s="20">
        <f t="shared" si="11"/>
        <v>12</v>
      </c>
      <c r="JQ18" s="21">
        <v>0</v>
      </c>
      <c r="JR18" s="22" t="s">
        <v>45</v>
      </c>
      <c r="JS18" s="23" t="s">
        <v>39</v>
      </c>
      <c r="JT18" s="22" t="s">
        <v>42</v>
      </c>
      <c r="JU18" s="25">
        <v>850</v>
      </c>
      <c r="JV18" s="25" t="s">
        <v>312</v>
      </c>
      <c r="JW18" s="34">
        <f>360*12</f>
        <v>4320</v>
      </c>
      <c r="JX18" s="34"/>
      <c r="JY18" s="44"/>
      <c r="JZ18" s="28" t="s">
        <v>228</v>
      </c>
      <c r="KB18" s="20">
        <f t="shared" si="12"/>
        <v>12</v>
      </c>
      <c r="KC18" s="21">
        <v>0</v>
      </c>
      <c r="KD18" s="22" t="s">
        <v>45</v>
      </c>
      <c r="KE18" s="23" t="s">
        <v>39</v>
      </c>
      <c r="KF18" s="22" t="s">
        <v>42</v>
      </c>
      <c r="KG18" s="25">
        <v>2350</v>
      </c>
      <c r="KH18" s="25" t="s">
        <v>312</v>
      </c>
      <c r="KI18" s="34">
        <f>144*20</f>
        <v>2880</v>
      </c>
      <c r="KJ18" s="35">
        <v>960</v>
      </c>
      <c r="KK18" s="27"/>
      <c r="KL18" s="28" t="s">
        <v>229</v>
      </c>
    </row>
    <row r="19" spans="72:298" ht="135" customHeight="1">
      <c r="BT19" s="20">
        <f t="shared" si="0"/>
        <v>13</v>
      </c>
      <c r="BU19" s="21">
        <v>0</v>
      </c>
      <c r="BV19" s="22" t="s">
        <v>38</v>
      </c>
      <c r="BW19" s="23" t="s">
        <v>39</v>
      </c>
      <c r="BX19" s="24"/>
      <c r="BY19" s="25">
        <v>1500</v>
      </c>
      <c r="BZ19" s="25" t="s">
        <v>325</v>
      </c>
      <c r="CA19" s="26" t="s">
        <v>40</v>
      </c>
      <c r="CB19" s="26" t="s">
        <v>40</v>
      </c>
      <c r="CC19" s="27"/>
      <c r="CD19" s="28" t="s">
        <v>105</v>
      </c>
      <c r="HA19" s="18"/>
      <c r="HB19" s="18"/>
      <c r="HC19" s="18"/>
      <c r="HD19" s="18"/>
      <c r="HM19" s="18"/>
      <c r="HN19" s="18"/>
      <c r="HO19" s="18"/>
      <c r="HP19" s="18"/>
      <c r="HY19" s="18"/>
      <c r="HZ19" s="18"/>
      <c r="IA19" s="18"/>
      <c r="IB19" s="18"/>
      <c r="IF19" s="20">
        <f t="shared" si="8"/>
        <v>13</v>
      </c>
      <c r="IG19" s="21">
        <v>0</v>
      </c>
      <c r="IH19" s="22" t="s">
        <v>45</v>
      </c>
      <c r="II19" s="23" t="s">
        <v>39</v>
      </c>
      <c r="IJ19" s="22" t="s">
        <v>42</v>
      </c>
      <c r="IK19" s="25">
        <v>2250</v>
      </c>
      <c r="IL19" s="25" t="s">
        <v>312</v>
      </c>
      <c r="IM19" s="34">
        <f>96*29</f>
        <v>2784</v>
      </c>
      <c r="IN19" s="35">
        <v>720</v>
      </c>
      <c r="IO19" s="27"/>
      <c r="IP19" s="28" t="s">
        <v>230</v>
      </c>
      <c r="IW19" s="18"/>
      <c r="IX19" s="18"/>
      <c r="IY19" s="18"/>
      <c r="IZ19" s="50"/>
      <c r="JI19" s="18"/>
      <c r="JJ19" s="18"/>
      <c r="JK19" s="18"/>
      <c r="JL19" s="50"/>
      <c r="JU19" s="18"/>
      <c r="JV19" s="18"/>
      <c r="JW19" s="18"/>
      <c r="JX19" s="18"/>
      <c r="KB19" s="20">
        <f t="shared" si="12"/>
        <v>13</v>
      </c>
      <c r="KC19" s="21">
        <v>0</v>
      </c>
      <c r="KD19" s="22" t="s">
        <v>45</v>
      </c>
      <c r="KE19" s="23" t="s">
        <v>39</v>
      </c>
      <c r="KF19" s="22" t="s">
        <v>42</v>
      </c>
      <c r="KG19" s="25">
        <v>175</v>
      </c>
      <c r="KH19" s="25" t="s">
        <v>312</v>
      </c>
      <c r="KI19" s="34">
        <f>4*20</f>
        <v>80</v>
      </c>
      <c r="KJ19" s="35">
        <v>18500</v>
      </c>
      <c r="KK19" s="27"/>
      <c r="KL19" s="28" t="s">
        <v>231</v>
      </c>
    </row>
    <row r="20" spans="72:298" ht="135" customHeight="1">
      <c r="BT20" s="20">
        <f t="shared" si="0"/>
        <v>14</v>
      </c>
      <c r="BU20" s="21">
        <v>0</v>
      </c>
      <c r="BV20" s="22" t="s">
        <v>38</v>
      </c>
      <c r="BW20" s="23" t="s">
        <v>39</v>
      </c>
      <c r="BX20" s="24"/>
      <c r="BY20" s="25">
        <v>1500</v>
      </c>
      <c r="BZ20" s="25" t="s">
        <v>325</v>
      </c>
      <c r="CA20" s="26" t="s">
        <v>40</v>
      </c>
      <c r="CB20" s="26" t="s">
        <v>40</v>
      </c>
      <c r="CC20" s="27"/>
      <c r="CD20" s="28" t="s">
        <v>128</v>
      </c>
      <c r="HA20" s="18"/>
      <c r="HB20" s="18"/>
      <c r="HC20" s="18"/>
      <c r="HD20" s="18"/>
      <c r="HM20" s="18"/>
      <c r="HN20" s="18"/>
      <c r="HO20" s="18"/>
      <c r="HP20" s="18"/>
      <c r="IF20" s="20">
        <f t="shared" si="8"/>
        <v>14</v>
      </c>
      <c r="IG20" s="21">
        <v>0</v>
      </c>
      <c r="IH20" s="22" t="s">
        <v>45</v>
      </c>
      <c r="II20" s="23" t="s">
        <v>39</v>
      </c>
      <c r="IJ20" s="22" t="s">
        <v>42</v>
      </c>
      <c r="IK20" s="25">
        <v>200</v>
      </c>
      <c r="IL20" s="25" t="s">
        <v>312</v>
      </c>
      <c r="IM20" s="34">
        <f>15*10</f>
        <v>150</v>
      </c>
      <c r="IN20" s="35">
        <v>26640</v>
      </c>
      <c r="IO20" s="27"/>
      <c r="IP20" s="28" t="s">
        <v>232</v>
      </c>
      <c r="IW20" s="18"/>
      <c r="IX20" s="18"/>
      <c r="IY20" s="18"/>
      <c r="IZ20" s="50"/>
      <c r="JI20" s="18"/>
      <c r="JJ20" s="18"/>
      <c r="JK20" s="18"/>
      <c r="JL20" s="50"/>
      <c r="JU20" s="18"/>
      <c r="JV20" s="18"/>
      <c r="JW20" s="18"/>
      <c r="JX20" s="18"/>
      <c r="KB20" s="20">
        <f t="shared" si="12"/>
        <v>14</v>
      </c>
      <c r="KC20" s="21">
        <v>0</v>
      </c>
      <c r="KD20" s="22" t="s">
        <v>45</v>
      </c>
      <c r="KE20" s="23" t="s">
        <v>39</v>
      </c>
      <c r="KF20" s="22" t="s">
        <v>42</v>
      </c>
      <c r="KG20" s="25">
        <v>300</v>
      </c>
      <c r="KH20" s="25" t="s">
        <v>312</v>
      </c>
      <c r="KI20" s="34">
        <f>36*20</f>
        <v>720</v>
      </c>
      <c r="KJ20" s="35">
        <v>2000</v>
      </c>
      <c r="KK20" s="27"/>
      <c r="KL20" s="28" t="s">
        <v>233</v>
      </c>
    </row>
    <row r="21" spans="72:298" ht="135" customHeight="1">
      <c r="BT21" s="20">
        <f t="shared" si="0"/>
        <v>15</v>
      </c>
      <c r="BU21" s="21">
        <v>0</v>
      </c>
      <c r="BV21" s="22" t="s">
        <v>38</v>
      </c>
      <c r="BW21" s="23" t="s">
        <v>39</v>
      </c>
      <c r="BX21" s="24"/>
      <c r="BY21" s="25">
        <v>1500</v>
      </c>
      <c r="BZ21" s="25" t="s">
        <v>325</v>
      </c>
      <c r="CA21" s="26" t="s">
        <v>40</v>
      </c>
      <c r="CB21" s="26" t="s">
        <v>40</v>
      </c>
      <c r="CC21" s="27"/>
      <c r="CD21" s="28" t="s">
        <v>147</v>
      </c>
      <c r="HA21" s="18"/>
      <c r="HB21" s="18"/>
      <c r="HC21" s="18"/>
      <c r="HD21" s="18"/>
      <c r="HM21" s="18"/>
      <c r="HN21" s="18"/>
      <c r="HO21" s="18"/>
      <c r="HP21" s="18"/>
      <c r="IF21" s="20">
        <f t="shared" si="8"/>
        <v>15</v>
      </c>
      <c r="IG21" s="21">
        <v>0</v>
      </c>
      <c r="IH21" s="22" t="s">
        <v>45</v>
      </c>
      <c r="II21" s="23" t="s">
        <v>39</v>
      </c>
      <c r="IJ21" s="22" t="s">
        <v>42</v>
      </c>
      <c r="IK21" s="25">
        <v>1000</v>
      </c>
      <c r="IL21" s="25" t="s">
        <v>312</v>
      </c>
      <c r="IM21" s="34">
        <f>180*10</f>
        <v>1800</v>
      </c>
      <c r="IN21" s="35">
        <v>2220</v>
      </c>
      <c r="IO21" s="27"/>
      <c r="IP21" s="28" t="s">
        <v>234</v>
      </c>
      <c r="IW21" s="18"/>
      <c r="IX21" s="18"/>
      <c r="IY21" s="18"/>
      <c r="IZ21" s="50"/>
      <c r="JI21" s="18"/>
      <c r="JJ21" s="18"/>
      <c r="JK21" s="18"/>
      <c r="JL21" s="50"/>
      <c r="JU21" s="18"/>
      <c r="JV21" s="18"/>
      <c r="JW21" s="18"/>
      <c r="JX21" s="18"/>
      <c r="KB21" s="20">
        <f t="shared" si="12"/>
        <v>15</v>
      </c>
      <c r="KC21" s="21">
        <v>0</v>
      </c>
      <c r="KD21" s="22" t="s">
        <v>45</v>
      </c>
      <c r="KE21" s="23" t="s">
        <v>39</v>
      </c>
      <c r="KF21" s="22" t="s">
        <v>42</v>
      </c>
      <c r="KG21" s="25">
        <v>2500</v>
      </c>
      <c r="KH21" s="25" t="s">
        <v>312</v>
      </c>
      <c r="KI21" s="34">
        <f>288*20</f>
        <v>5760</v>
      </c>
      <c r="KJ21" s="35">
        <v>695</v>
      </c>
      <c r="KK21" s="27"/>
      <c r="KL21" s="28" t="s">
        <v>235</v>
      </c>
    </row>
    <row r="22" spans="72:298" ht="135" customHeight="1">
      <c r="BT22" s="20">
        <f t="shared" si="0"/>
        <v>16</v>
      </c>
      <c r="BU22" s="21">
        <v>0</v>
      </c>
      <c r="BV22" s="22" t="s">
        <v>38</v>
      </c>
      <c r="BW22" s="23" t="s">
        <v>39</v>
      </c>
      <c r="BX22" s="24"/>
      <c r="BY22" s="25">
        <v>1500</v>
      </c>
      <c r="BZ22" s="25" t="s">
        <v>325</v>
      </c>
      <c r="CA22" s="26" t="s">
        <v>40</v>
      </c>
      <c r="CB22" s="26" t="s">
        <v>40</v>
      </c>
      <c r="CC22" s="27"/>
      <c r="CD22" s="28" t="s">
        <v>167</v>
      </c>
      <c r="IF22" s="20">
        <f t="shared" si="8"/>
        <v>16</v>
      </c>
      <c r="IG22" s="21">
        <v>0</v>
      </c>
      <c r="IH22" s="22" t="s">
        <v>45</v>
      </c>
      <c r="II22" s="23" t="s">
        <v>39</v>
      </c>
      <c r="IJ22" s="22" t="s">
        <v>42</v>
      </c>
      <c r="IK22" s="25">
        <v>50</v>
      </c>
      <c r="IL22" s="25" t="s">
        <v>312</v>
      </c>
      <c r="IM22" s="34">
        <f>18*10</f>
        <v>180</v>
      </c>
      <c r="IN22" s="35">
        <v>22200</v>
      </c>
      <c r="IO22" s="27"/>
      <c r="IP22" s="28" t="s">
        <v>236</v>
      </c>
      <c r="KB22" s="20">
        <f t="shared" si="12"/>
        <v>16</v>
      </c>
      <c r="KC22" s="21">
        <v>0</v>
      </c>
      <c r="KD22" s="22" t="s">
        <v>45</v>
      </c>
      <c r="KE22" s="23" t="s">
        <v>39</v>
      </c>
      <c r="KF22" s="22" t="s">
        <v>42</v>
      </c>
      <c r="KG22" s="25">
        <v>150</v>
      </c>
      <c r="KH22" s="25" t="s">
        <v>312</v>
      </c>
      <c r="KI22" s="34">
        <f>18*15</f>
        <v>270</v>
      </c>
      <c r="KJ22" s="35">
        <v>5480</v>
      </c>
      <c r="KK22" s="27"/>
      <c r="KL22" s="28" t="s">
        <v>237</v>
      </c>
    </row>
    <row r="23" spans="72:298" ht="135" customHeight="1">
      <c r="BT23" s="20">
        <f t="shared" si="0"/>
        <v>17</v>
      </c>
      <c r="BU23" s="21">
        <v>0</v>
      </c>
      <c r="BV23" s="22" t="s">
        <v>38</v>
      </c>
      <c r="BW23" s="23" t="s">
        <v>39</v>
      </c>
      <c r="BX23" s="24"/>
      <c r="BY23" s="25">
        <v>1500</v>
      </c>
      <c r="BZ23" s="25" t="s">
        <v>325</v>
      </c>
      <c r="CA23" s="26" t="s">
        <v>40</v>
      </c>
      <c r="CB23" s="26" t="s">
        <v>40</v>
      </c>
      <c r="CC23" s="27"/>
      <c r="CD23" s="28" t="s">
        <v>183</v>
      </c>
      <c r="IF23" s="20">
        <f t="shared" si="8"/>
        <v>17</v>
      </c>
      <c r="IG23" s="21">
        <v>0</v>
      </c>
      <c r="IH23" s="22" t="s">
        <v>45</v>
      </c>
      <c r="II23" s="23" t="s">
        <v>39</v>
      </c>
      <c r="IJ23" s="22" t="s">
        <v>42</v>
      </c>
      <c r="IK23" s="25">
        <v>100</v>
      </c>
      <c r="IL23" s="25" t="s">
        <v>312</v>
      </c>
      <c r="IM23" s="34">
        <f>9*10</f>
        <v>90</v>
      </c>
      <c r="IN23" s="35">
        <v>44400</v>
      </c>
      <c r="IO23" s="27"/>
      <c r="IP23" s="28" t="s">
        <v>238</v>
      </c>
      <c r="KB23" s="20">
        <f t="shared" si="12"/>
        <v>17</v>
      </c>
      <c r="KC23" s="21">
        <v>0</v>
      </c>
      <c r="KD23" s="22" t="s">
        <v>45</v>
      </c>
      <c r="KE23" s="23" t="s">
        <v>39</v>
      </c>
      <c r="KF23" s="22" t="s">
        <v>42</v>
      </c>
      <c r="KG23" s="25">
        <v>65</v>
      </c>
      <c r="KH23" s="25" t="s">
        <v>312</v>
      </c>
      <c r="KI23" s="34">
        <f>4*15</f>
        <v>60</v>
      </c>
      <c r="KJ23" s="35">
        <v>24665</v>
      </c>
      <c r="KK23" s="27"/>
      <c r="KL23" s="28" t="s">
        <v>239</v>
      </c>
    </row>
    <row r="24" spans="72:298" ht="135" customHeight="1">
      <c r="IF24" s="20">
        <f t="shared" si="8"/>
        <v>18</v>
      </c>
      <c r="IG24" s="21">
        <v>0</v>
      </c>
      <c r="IH24" s="22" t="s">
        <v>45</v>
      </c>
      <c r="II24" s="23" t="s">
        <v>39</v>
      </c>
      <c r="IJ24" s="22" t="s">
        <v>42</v>
      </c>
      <c r="IK24" s="25">
        <v>50</v>
      </c>
      <c r="IL24" s="25" t="s">
        <v>312</v>
      </c>
      <c r="IM24" s="34">
        <f>100*10</f>
        <v>1000</v>
      </c>
      <c r="IN24" s="35">
        <v>7700</v>
      </c>
      <c r="IO24" s="27"/>
      <c r="IP24" s="28" t="s">
        <v>240</v>
      </c>
    </row>
  </sheetData>
  <mergeCells count="120">
    <mergeCell ref="AJ1:AT3"/>
    <mergeCell ref="AV1:BF3"/>
    <mergeCell ref="BH1:BR3"/>
    <mergeCell ref="BT1:CD3"/>
    <mergeCell ref="CF1:CP3"/>
    <mergeCell ref="CR1:DB3"/>
    <mergeCell ref="A1:B2"/>
    <mergeCell ref="C1:F1"/>
    <mergeCell ref="G1:H1"/>
    <mergeCell ref="I1:J1"/>
    <mergeCell ref="L1:V3"/>
    <mergeCell ref="X1:AH3"/>
    <mergeCell ref="LL1:LV3"/>
    <mergeCell ref="C2:F2"/>
    <mergeCell ref="G2:H2"/>
    <mergeCell ref="I2:J2"/>
    <mergeCell ref="D3:F3"/>
    <mergeCell ref="G3:J3"/>
    <mergeCell ref="IR1:JB3"/>
    <mergeCell ref="JD1:JN3"/>
    <mergeCell ref="JP1:JZ3"/>
    <mergeCell ref="KB1:KL3"/>
    <mergeCell ref="KN1:KX3"/>
    <mergeCell ref="KZ1:LJ3"/>
    <mergeCell ref="FX1:GH3"/>
    <mergeCell ref="GJ1:GT3"/>
    <mergeCell ref="GV1:HF3"/>
    <mergeCell ref="HH1:HR3"/>
    <mergeCell ref="HT1:ID3"/>
    <mergeCell ref="IF1:IP3"/>
    <mergeCell ref="DD1:DN3"/>
    <mergeCell ref="DP1:DZ3"/>
    <mergeCell ref="EB1:EL3"/>
    <mergeCell ref="EN1:EX3"/>
    <mergeCell ref="EZ1:FJ3"/>
    <mergeCell ref="FL1:FV3"/>
    <mergeCell ref="CR4:DB4"/>
    <mergeCell ref="DD4:DN4"/>
    <mergeCell ref="DP4:DZ4"/>
    <mergeCell ref="EB4:EL4"/>
    <mergeCell ref="A4:J4"/>
    <mergeCell ref="L4:V4"/>
    <mergeCell ref="X4:AH4"/>
    <mergeCell ref="AJ4:AT4"/>
    <mergeCell ref="AV4:BF4"/>
    <mergeCell ref="BH4:BR4"/>
    <mergeCell ref="KB4:KL4"/>
    <mergeCell ref="KN4:KX4"/>
    <mergeCell ref="KZ4:LJ4"/>
    <mergeCell ref="LL4:LV4"/>
    <mergeCell ref="D5:D6"/>
    <mergeCell ref="E5:E6"/>
    <mergeCell ref="O5:O6"/>
    <mergeCell ref="P5:P6"/>
    <mergeCell ref="AA5:AA6"/>
    <mergeCell ref="AB5:AB6"/>
    <mergeCell ref="HH4:HR4"/>
    <mergeCell ref="HT4:ID4"/>
    <mergeCell ref="IF4:IP4"/>
    <mergeCell ref="IR4:JB4"/>
    <mergeCell ref="JD4:JN4"/>
    <mergeCell ref="JP4:JZ4"/>
    <mergeCell ref="EN4:EX4"/>
    <mergeCell ref="EZ4:FJ4"/>
    <mergeCell ref="FL4:FV4"/>
    <mergeCell ref="FX4:GH4"/>
    <mergeCell ref="GJ4:GT4"/>
    <mergeCell ref="GV4:HF4"/>
    <mergeCell ref="BT4:CD4"/>
    <mergeCell ref="CF4:CP4"/>
    <mergeCell ref="BW5:BW6"/>
    <mergeCell ref="BX5:BX6"/>
    <mergeCell ref="CI5:CI6"/>
    <mergeCell ref="CJ5:CJ6"/>
    <mergeCell ref="CU5:CU6"/>
    <mergeCell ref="CV5:CV6"/>
    <mergeCell ref="AM5:AM6"/>
    <mergeCell ref="AN5:AN6"/>
    <mergeCell ref="AY5:AY6"/>
    <mergeCell ref="AZ5:AZ6"/>
    <mergeCell ref="BK5:BK6"/>
    <mergeCell ref="BL5:BL6"/>
    <mergeCell ref="EQ5:EQ6"/>
    <mergeCell ref="ER5:ER6"/>
    <mergeCell ref="FC5:FC6"/>
    <mergeCell ref="FD5:FD6"/>
    <mergeCell ref="FO5:FO6"/>
    <mergeCell ref="FP5:FP6"/>
    <mergeCell ref="DG5:DG6"/>
    <mergeCell ref="DH5:DH6"/>
    <mergeCell ref="DS5:DS6"/>
    <mergeCell ref="DT5:DT6"/>
    <mergeCell ref="EE5:EE6"/>
    <mergeCell ref="EF5:EF6"/>
    <mergeCell ref="HK5:HK6"/>
    <mergeCell ref="HL5:HL6"/>
    <mergeCell ref="HW5:HW6"/>
    <mergeCell ref="HX5:HX6"/>
    <mergeCell ref="II5:II6"/>
    <mergeCell ref="IJ5:IJ6"/>
    <mergeCell ref="GA5:GA6"/>
    <mergeCell ref="GB5:GB6"/>
    <mergeCell ref="GM5:GM6"/>
    <mergeCell ref="GN5:GN6"/>
    <mergeCell ref="GY5:GY6"/>
    <mergeCell ref="GZ5:GZ6"/>
    <mergeCell ref="LO5:LO6"/>
    <mergeCell ref="LP5:LP6"/>
    <mergeCell ref="KE5:KE6"/>
    <mergeCell ref="KF5:KF6"/>
    <mergeCell ref="KQ5:KQ6"/>
    <mergeCell ref="KR5:KR6"/>
    <mergeCell ref="LC5:LC6"/>
    <mergeCell ref="LD5:LD6"/>
    <mergeCell ref="IU5:IU6"/>
    <mergeCell ref="IV5:IV6"/>
    <mergeCell ref="JG5:JG6"/>
    <mergeCell ref="JH5:JH6"/>
    <mergeCell ref="JS5:JS6"/>
    <mergeCell ref="JT5:JT6"/>
  </mergeCells>
  <phoneticPr fontId="28" type="noConversion"/>
  <conditionalFormatting sqref="A5">
    <cfRule type="colorScale" priority="98">
      <colorScale>
        <cfvo type="num" val="0"/>
        <cfvo type="num" val="500"/>
        <color rgb="FFFFFF00"/>
        <color rgb="FFFFFF00"/>
      </colorScale>
    </cfRule>
  </conditionalFormatting>
  <conditionalFormatting sqref="B7:H7">
    <cfRule type="cellIs" dxfId="112" priority="83" operator="equal">
      <formula>1</formula>
    </cfRule>
  </conditionalFormatting>
  <conditionalFormatting sqref="C7">
    <cfRule type="cellIs" dxfId="111" priority="82" operator="equal">
      <formula>"Hard Case"</formula>
    </cfRule>
  </conditionalFormatting>
  <conditionalFormatting sqref="G1:G2 C2">
    <cfRule type="cellIs" dxfId="110" priority="92" operator="equal">
      <formula>0</formula>
    </cfRule>
  </conditionalFormatting>
  <conditionalFormatting sqref="I1:I2">
    <cfRule type="cellIs" dxfId="109" priority="91" operator="equal">
      <formula>0</formula>
    </cfRule>
  </conditionalFormatting>
  <conditionalFormatting sqref="L5">
    <cfRule type="colorScale" priority="25">
      <colorScale>
        <cfvo type="num" val="0"/>
        <cfvo type="num" val="500"/>
        <color rgb="FFFFFF00"/>
        <color rgb="FFFFFF00"/>
      </colorScale>
    </cfRule>
  </conditionalFormatting>
  <conditionalFormatting sqref="L1:P3 L4">
    <cfRule type="containsText" dxfId="108" priority="96" operator="containsText" text="Complete Set">
      <formula>NOT(ISERROR(SEARCH("Complete Set",L1)))</formula>
    </cfRule>
  </conditionalFormatting>
  <conditionalFormatting sqref="M9:N9 Y9:AG9">
    <cfRule type="cellIs" dxfId="107" priority="102" operator="equal">
      <formula>1</formula>
    </cfRule>
  </conditionalFormatting>
  <conditionalFormatting sqref="M7:T8">
    <cfRule type="cellIs" dxfId="106" priority="79" operator="equal">
      <formula>1</formula>
    </cfRule>
  </conditionalFormatting>
  <conditionalFormatting sqref="N7:N8">
    <cfRule type="cellIs" dxfId="105" priority="81" operator="equal">
      <formula>"Hard Case"</formula>
    </cfRule>
  </conditionalFormatting>
  <conditionalFormatting sqref="U1:V3">
    <cfRule type="containsText" dxfId="104" priority="97" operator="containsText" text="Complete Set">
      <formula>NOT(ISERROR(SEARCH("Complete Set",U1)))</formula>
    </cfRule>
  </conditionalFormatting>
  <conditionalFormatting sqref="X5">
    <cfRule type="colorScale" priority="26">
      <colorScale>
        <cfvo type="num" val="0"/>
        <cfvo type="num" val="500"/>
        <color rgb="FFFFFF00"/>
        <color rgb="FFFFFF00"/>
      </colorScale>
    </cfRule>
  </conditionalFormatting>
  <conditionalFormatting sqref="X1:AB3 AJ1:AN3 A4">
    <cfRule type="containsText" dxfId="103" priority="90" operator="containsText" text="Complete Set">
      <formula>NOT(ISERROR(SEARCH("Complete Set",A1)))</formula>
    </cfRule>
  </conditionalFormatting>
  <conditionalFormatting sqref="Y7:AF8">
    <cfRule type="cellIs" dxfId="102" priority="78" operator="equal">
      <formula>1</formula>
    </cfRule>
  </conditionalFormatting>
  <conditionalFormatting sqref="Z7:Z8">
    <cfRule type="cellIs" dxfId="101" priority="80" operator="equal">
      <formula>"Hard Case"</formula>
    </cfRule>
  </conditionalFormatting>
  <conditionalFormatting sqref="AG1:AH3 AS1:AT3 BE1:BF3 BQ1:BR3 CC1:CD3 CO1:CP3 DA1:DB3 DM1:DN3 DY1:DZ3 FI1:FJ3 FU1:FV3 GG1:GH3 HE1:HF3 HQ1:HR3 IC1:ID3 IO1:IP3 JA1:JB3 JM1:JN3 JY1:JZ3 KK1:KL3 KW1:KX3 LI1:LJ3 LU1:LV3">
    <cfRule type="containsText" dxfId="100" priority="101" operator="containsText" text="Complete Set">
      <formula>NOT(ISERROR(SEARCH("Complete Set",AG1)))</formula>
    </cfRule>
  </conditionalFormatting>
  <conditionalFormatting sqref="AJ5">
    <cfRule type="colorScale" priority="27">
      <colorScale>
        <cfvo type="num" val="0"/>
        <cfvo type="num" val="500"/>
        <color rgb="FFFFFF00"/>
        <color rgb="FFFFFF00"/>
      </colorScale>
    </cfRule>
  </conditionalFormatting>
  <conditionalFormatting sqref="AK7:AR10">
    <cfRule type="cellIs" dxfId="99" priority="76" operator="equal">
      <formula>1</formula>
    </cfRule>
  </conditionalFormatting>
  <conditionalFormatting sqref="AL7:AL9">
    <cfRule type="cellIs" dxfId="98" priority="77" operator="equal">
      <formula>"Hard Case"</formula>
    </cfRule>
  </conditionalFormatting>
  <conditionalFormatting sqref="AV5">
    <cfRule type="colorScale" priority="22">
      <colorScale>
        <cfvo type="num" val="0"/>
        <cfvo type="num" val="500"/>
        <color rgb="FFFFFF00"/>
        <color rgb="FFFFFF00"/>
      </colorScale>
    </cfRule>
  </conditionalFormatting>
  <conditionalFormatting sqref="AV1:AZ3 BH1:BL3 BT1:BX3 CF1:CJ3 CR1:CV3 DD1:DH3 DP1:DT3 EZ1:FD3 FL1:FP3 FX1:GB3 X4 AJ4 AV4 BH4 BT4 CF4 CR4 DD4 DP4 EZ4 FL4 FX4">
    <cfRule type="containsText" dxfId="97" priority="99" operator="containsText" text="Complete Set">
      <formula>NOT(ISERROR(SEARCH("Complete Set",X1)))</formula>
    </cfRule>
  </conditionalFormatting>
  <conditionalFormatting sqref="AW7:BD10">
    <cfRule type="cellIs" dxfId="96" priority="74" operator="equal">
      <formula>1</formula>
    </cfRule>
  </conditionalFormatting>
  <conditionalFormatting sqref="AX7:AX8">
    <cfRule type="cellIs" dxfId="95" priority="75" operator="equal">
      <formula>"Hard Case"</formula>
    </cfRule>
  </conditionalFormatting>
  <conditionalFormatting sqref="BH5">
    <cfRule type="colorScale" priority="23">
      <colorScale>
        <cfvo type="num" val="0"/>
        <cfvo type="num" val="500"/>
        <color rgb="FFFFFF00"/>
        <color rgb="FFFFFF00"/>
      </colorScale>
    </cfRule>
  </conditionalFormatting>
  <conditionalFormatting sqref="BI7:BP10">
    <cfRule type="cellIs" dxfId="94" priority="72" operator="equal">
      <formula>1</formula>
    </cfRule>
  </conditionalFormatting>
  <conditionalFormatting sqref="BJ7:BJ9">
    <cfRule type="cellIs" dxfId="93" priority="73" operator="equal">
      <formula>"Hard Case"</formula>
    </cfRule>
  </conditionalFormatting>
  <conditionalFormatting sqref="BT5">
    <cfRule type="colorScale" priority="24">
      <colorScale>
        <cfvo type="num" val="0"/>
        <cfvo type="num" val="500"/>
        <color rgb="FFFFFF00"/>
        <color rgb="FFFFFF00"/>
      </colorScale>
    </cfRule>
  </conditionalFormatting>
  <conditionalFormatting sqref="BU7:CB23">
    <cfRule type="cellIs" dxfId="92" priority="69" operator="equal">
      <formula>1</formula>
    </cfRule>
  </conditionalFormatting>
  <conditionalFormatting sqref="BV7:BV23">
    <cfRule type="cellIs" dxfId="91" priority="71" operator="equal">
      <formula>"Hard Case"</formula>
    </cfRule>
  </conditionalFormatting>
  <conditionalFormatting sqref="CF5">
    <cfRule type="colorScale" priority="19">
      <colorScale>
        <cfvo type="num" val="0"/>
        <cfvo type="num" val="500"/>
        <color rgb="FFFFFF00"/>
        <color rgb="FFFFFF00"/>
      </colorScale>
    </cfRule>
  </conditionalFormatting>
  <conditionalFormatting sqref="CG7:CN18">
    <cfRule type="cellIs" dxfId="90" priority="68" operator="equal">
      <formula>1</formula>
    </cfRule>
  </conditionalFormatting>
  <conditionalFormatting sqref="CH7:CH18">
    <cfRule type="cellIs" dxfId="89" priority="70" operator="equal">
      <formula>"Hard Case"</formula>
    </cfRule>
  </conditionalFormatting>
  <conditionalFormatting sqref="CR5">
    <cfRule type="colorScale" priority="20">
      <colorScale>
        <cfvo type="num" val="0"/>
        <cfvo type="num" val="500"/>
        <color rgb="FFFFFF00"/>
        <color rgb="FFFFFF00"/>
      </colorScale>
    </cfRule>
  </conditionalFormatting>
  <conditionalFormatting sqref="CS7:CZ11">
    <cfRule type="cellIs" dxfId="88" priority="66" operator="equal">
      <formula>1</formula>
    </cfRule>
  </conditionalFormatting>
  <conditionalFormatting sqref="CT7:CT11">
    <cfRule type="cellIs" dxfId="87" priority="67" operator="equal">
      <formula>"Hard Case"</formula>
    </cfRule>
  </conditionalFormatting>
  <conditionalFormatting sqref="DD5">
    <cfRule type="colorScale" priority="21">
      <colorScale>
        <cfvo type="num" val="0"/>
        <cfvo type="num" val="500"/>
        <color rgb="FFFFFF00"/>
        <color rgb="FFFFFF00"/>
      </colorScale>
    </cfRule>
  </conditionalFormatting>
  <conditionalFormatting sqref="DE7:DL12">
    <cfRule type="cellIs" dxfId="86" priority="64" operator="equal">
      <formula>1</formula>
    </cfRule>
  </conditionalFormatting>
  <conditionalFormatting sqref="DF7:DF12">
    <cfRule type="cellIs" dxfId="85" priority="65" operator="equal">
      <formula>"Hard Case"</formula>
    </cfRule>
  </conditionalFormatting>
  <conditionalFormatting sqref="DP5">
    <cfRule type="colorScale" priority="16">
      <colorScale>
        <cfvo type="num" val="0"/>
        <cfvo type="num" val="500"/>
        <color rgb="FFFFFF00"/>
        <color rgb="FFFFFF00"/>
      </colorScale>
    </cfRule>
  </conditionalFormatting>
  <conditionalFormatting sqref="DQ7:DX13">
    <cfRule type="cellIs" dxfId="84" priority="62" operator="equal">
      <formula>1</formula>
    </cfRule>
  </conditionalFormatting>
  <conditionalFormatting sqref="DR7:DR13">
    <cfRule type="cellIs" dxfId="83" priority="63" operator="equal">
      <formula>"Hard Case"</formula>
    </cfRule>
  </conditionalFormatting>
  <conditionalFormatting sqref="EB5">
    <cfRule type="colorScale" priority="17">
      <colorScale>
        <cfvo type="num" val="0"/>
        <cfvo type="num" val="500"/>
        <color rgb="FFFFFF00"/>
        <color rgb="FFFFFF00"/>
      </colorScale>
    </cfRule>
  </conditionalFormatting>
  <conditionalFormatting sqref="EB1:EF3 EB4">
    <cfRule type="containsText" dxfId="82" priority="87" operator="containsText" text="Complete Set">
      <formula>NOT(ISERROR(SEARCH("Complete Set",EB1)))</formula>
    </cfRule>
  </conditionalFormatting>
  <conditionalFormatting sqref="EC8:EF10">
    <cfRule type="cellIs" dxfId="81" priority="89" operator="equal">
      <formula>1</formula>
    </cfRule>
  </conditionalFormatting>
  <conditionalFormatting sqref="EC7:EJ7">
    <cfRule type="cellIs" dxfId="80" priority="59" operator="equal">
      <formula>1</formula>
    </cfRule>
  </conditionalFormatting>
  <conditionalFormatting sqref="ED7">
    <cfRule type="cellIs" dxfId="79" priority="61" operator="equal">
      <formula>"Hard Case"</formula>
    </cfRule>
  </conditionalFormatting>
  <conditionalFormatting sqref="EK1:EL3">
    <cfRule type="containsText" dxfId="78" priority="88" operator="containsText" text="Complete Set">
      <formula>NOT(ISERROR(SEARCH("Complete Set",EK1)))</formula>
    </cfRule>
  </conditionalFormatting>
  <conditionalFormatting sqref="EN5">
    <cfRule type="colorScale" priority="18">
      <colorScale>
        <cfvo type="num" val="0"/>
        <cfvo type="num" val="500"/>
        <color rgb="FFFFFF00"/>
        <color rgb="FFFFFF00"/>
      </colorScale>
    </cfRule>
  </conditionalFormatting>
  <conditionalFormatting sqref="EN1:ER3 EN4">
    <cfRule type="containsText" dxfId="77" priority="93" operator="containsText" text="Complete Set">
      <formula>NOT(ISERROR(SEARCH("Complete Set",EN1)))</formula>
    </cfRule>
  </conditionalFormatting>
  <conditionalFormatting sqref="EO9:ER10">
    <cfRule type="cellIs" dxfId="76" priority="95" operator="equal">
      <formula>1</formula>
    </cfRule>
  </conditionalFormatting>
  <conditionalFormatting sqref="EO7:EV8">
    <cfRule type="cellIs" dxfId="75" priority="58" operator="equal">
      <formula>1</formula>
    </cfRule>
  </conditionalFormatting>
  <conditionalFormatting sqref="EP7:EP8">
    <cfRule type="cellIs" dxfId="74" priority="60" operator="equal">
      <formula>"Hard Case"</formula>
    </cfRule>
  </conditionalFormatting>
  <conditionalFormatting sqref="EW1:EX3">
    <cfRule type="containsText" dxfId="73" priority="94" operator="containsText" text="Complete Set">
      <formula>NOT(ISERROR(SEARCH("Complete Set",EW1)))</formula>
    </cfRule>
  </conditionalFormatting>
  <conditionalFormatting sqref="EZ5">
    <cfRule type="colorScale" priority="13">
      <colorScale>
        <cfvo type="num" val="0"/>
        <cfvo type="num" val="500"/>
        <color rgb="FFFFFF00"/>
        <color rgb="FFFFFF00"/>
      </colorScale>
    </cfRule>
  </conditionalFormatting>
  <conditionalFormatting sqref="FA8:FD10">
    <cfRule type="cellIs" dxfId="72" priority="103" operator="equal">
      <formula>1</formula>
    </cfRule>
  </conditionalFormatting>
  <conditionalFormatting sqref="FA7:FH7">
    <cfRule type="cellIs" dxfId="71" priority="56" operator="equal">
      <formula>1</formula>
    </cfRule>
  </conditionalFormatting>
  <conditionalFormatting sqref="FB7">
    <cfRule type="cellIs" dxfId="70" priority="57" operator="equal">
      <formula>"Hard Case"</formula>
    </cfRule>
  </conditionalFormatting>
  <conditionalFormatting sqref="FL5">
    <cfRule type="colorScale" priority="14">
      <colorScale>
        <cfvo type="num" val="0"/>
        <cfvo type="num" val="500"/>
        <color rgb="FFFFFF00"/>
        <color rgb="FFFFFF00"/>
      </colorScale>
    </cfRule>
  </conditionalFormatting>
  <conditionalFormatting sqref="FM7:FT13">
    <cfRule type="cellIs" dxfId="69" priority="53" operator="equal">
      <formula>1</formula>
    </cfRule>
  </conditionalFormatting>
  <conditionalFormatting sqref="FN7:FN13">
    <cfRule type="cellIs" dxfId="68" priority="55" operator="equal">
      <formula>"Hard Case"</formula>
    </cfRule>
  </conditionalFormatting>
  <conditionalFormatting sqref="FX5">
    <cfRule type="colorScale" priority="15">
      <colorScale>
        <cfvo type="num" val="0"/>
        <cfvo type="num" val="500"/>
        <color rgb="FFFFFF00"/>
        <color rgb="FFFFFF00"/>
      </colorScale>
    </cfRule>
  </conditionalFormatting>
  <conditionalFormatting sqref="FY7:GF16">
    <cfRule type="cellIs" dxfId="67" priority="52" operator="equal">
      <formula>1</formula>
    </cfRule>
  </conditionalFormatting>
  <conditionalFormatting sqref="FZ7:FZ16">
    <cfRule type="cellIs" dxfId="66" priority="54" operator="equal">
      <formula>"Hard Case"</formula>
    </cfRule>
  </conditionalFormatting>
  <conditionalFormatting sqref="GJ5">
    <cfRule type="colorScale" priority="10">
      <colorScale>
        <cfvo type="num" val="0"/>
        <cfvo type="num" val="500"/>
        <color rgb="FFFFFF00"/>
        <color rgb="FFFFFF00"/>
      </colorScale>
    </cfRule>
  </conditionalFormatting>
  <conditionalFormatting sqref="GJ1:GN3 GJ4">
    <cfRule type="containsText" dxfId="65" priority="84" operator="containsText" text="Complete Set">
      <formula>NOT(ISERROR(SEARCH("Complete Set",GJ1)))</formula>
    </cfRule>
  </conditionalFormatting>
  <conditionalFormatting sqref="GK10:GN10">
    <cfRule type="cellIs" dxfId="64" priority="86" operator="equal">
      <formula>1</formula>
    </cfRule>
  </conditionalFormatting>
  <conditionalFormatting sqref="GK7:GR9">
    <cfRule type="cellIs" dxfId="63" priority="49" operator="equal">
      <formula>1</formula>
    </cfRule>
  </conditionalFormatting>
  <conditionalFormatting sqref="GL7:GL9">
    <cfRule type="cellIs" dxfId="62" priority="51" operator="equal">
      <formula>"Hard Case"</formula>
    </cfRule>
  </conditionalFormatting>
  <conditionalFormatting sqref="GS1:GT3">
    <cfRule type="containsText" dxfId="61" priority="85" operator="containsText" text="Complete Set">
      <formula>NOT(ISERROR(SEARCH("Complete Set",GS1)))</formula>
    </cfRule>
  </conditionalFormatting>
  <conditionalFormatting sqref="GV5">
    <cfRule type="colorScale" priority="11">
      <colorScale>
        <cfvo type="num" val="0"/>
        <cfvo type="num" val="500"/>
        <color rgb="FFFFFF00"/>
        <color rgb="FFFFFF00"/>
      </colorScale>
    </cfRule>
  </conditionalFormatting>
  <conditionalFormatting sqref="GW7:HD11">
    <cfRule type="cellIs" dxfId="60" priority="48" operator="equal">
      <formula>1</formula>
    </cfRule>
  </conditionalFormatting>
  <conditionalFormatting sqref="GX7:GX11">
    <cfRule type="cellIs" dxfId="59" priority="50" operator="equal">
      <formula>"Hard Case"</formula>
    </cfRule>
  </conditionalFormatting>
  <conditionalFormatting sqref="HH5">
    <cfRule type="colorScale" priority="12">
      <colorScale>
        <cfvo type="num" val="0"/>
        <cfvo type="num" val="500"/>
        <color rgb="FFFFFF00"/>
        <color rgb="FFFFFF00"/>
      </colorScale>
    </cfRule>
  </conditionalFormatting>
  <conditionalFormatting sqref="HI7:HP13">
    <cfRule type="cellIs" dxfId="58" priority="46" operator="equal">
      <formula>1</formula>
    </cfRule>
  </conditionalFormatting>
  <conditionalFormatting sqref="HJ7:HJ13">
    <cfRule type="cellIs" dxfId="57" priority="47" operator="equal">
      <formula>"Hard Case"</formula>
    </cfRule>
  </conditionalFormatting>
  <conditionalFormatting sqref="HT5">
    <cfRule type="colorScale" priority="7">
      <colorScale>
        <cfvo type="num" val="0"/>
        <cfvo type="num" val="500"/>
        <color rgb="FFFFFF00"/>
        <color rgb="FFFFFF00"/>
      </colorScale>
    </cfRule>
  </conditionalFormatting>
  <conditionalFormatting sqref="HU7:IB14">
    <cfRule type="cellIs" dxfId="56" priority="44" operator="equal">
      <formula>1</formula>
    </cfRule>
  </conditionalFormatting>
  <conditionalFormatting sqref="HV7:HV14">
    <cfRule type="cellIs" dxfId="55" priority="45" operator="equal">
      <formula>"Hard Case"</formula>
    </cfRule>
  </conditionalFormatting>
  <conditionalFormatting sqref="IF5">
    <cfRule type="colorScale" priority="8">
      <colorScale>
        <cfvo type="num" val="0"/>
        <cfvo type="num" val="500"/>
        <color rgb="FFFFFF00"/>
        <color rgb="FFFFFF00"/>
      </colorScale>
    </cfRule>
  </conditionalFormatting>
  <conditionalFormatting sqref="IG7:IN24">
    <cfRule type="cellIs" dxfId="54" priority="41" operator="equal">
      <formula>1</formula>
    </cfRule>
  </conditionalFormatting>
  <conditionalFormatting sqref="IH7:IH24">
    <cfRule type="cellIs" dxfId="53" priority="43" operator="equal">
      <formula>"Hard Case"</formula>
    </cfRule>
  </conditionalFormatting>
  <conditionalFormatting sqref="IR5">
    <cfRule type="colorScale" priority="9">
      <colorScale>
        <cfvo type="num" val="0"/>
        <cfvo type="num" val="500"/>
        <color rgb="FFFFFF00"/>
        <color rgb="FFFFFF00"/>
      </colorScale>
    </cfRule>
  </conditionalFormatting>
  <conditionalFormatting sqref="IS7:IZ13">
    <cfRule type="cellIs" dxfId="52" priority="40" operator="equal">
      <formula>1</formula>
    </cfRule>
  </conditionalFormatting>
  <conditionalFormatting sqref="IT7:IT13">
    <cfRule type="cellIs" dxfId="51" priority="42" operator="equal">
      <formula>"Hard Case"</formula>
    </cfRule>
  </conditionalFormatting>
  <conditionalFormatting sqref="JD5">
    <cfRule type="colorScale" priority="4">
      <colorScale>
        <cfvo type="num" val="0"/>
        <cfvo type="num" val="500"/>
        <color rgb="FFFFFF00"/>
        <color rgb="FFFFFF00"/>
      </colorScale>
    </cfRule>
  </conditionalFormatting>
  <conditionalFormatting sqref="JE7:JL16">
    <cfRule type="cellIs" dxfId="50" priority="37" operator="equal">
      <formula>1</formula>
    </cfRule>
  </conditionalFormatting>
  <conditionalFormatting sqref="JF7:JF16">
    <cfRule type="cellIs" dxfId="49" priority="39" operator="equal">
      <formula>"Hard Case"</formula>
    </cfRule>
  </conditionalFormatting>
  <conditionalFormatting sqref="JP5">
    <cfRule type="colorScale" priority="5">
      <colorScale>
        <cfvo type="num" val="0"/>
        <cfvo type="num" val="500"/>
        <color rgb="FFFFFF00"/>
        <color rgb="FFFFFF00"/>
      </colorScale>
    </cfRule>
  </conditionalFormatting>
  <conditionalFormatting sqref="JQ7:JX18">
    <cfRule type="cellIs" dxfId="48" priority="36" operator="equal">
      <formula>1</formula>
    </cfRule>
  </conditionalFormatting>
  <conditionalFormatting sqref="JR7:JR18">
    <cfRule type="cellIs" dxfId="47" priority="38" operator="equal">
      <formula>"Hard Case"</formula>
    </cfRule>
  </conditionalFormatting>
  <conditionalFormatting sqref="KB5">
    <cfRule type="colorScale" priority="6">
      <colorScale>
        <cfvo type="num" val="0"/>
        <cfvo type="num" val="500"/>
        <color rgb="FFFFFF00"/>
        <color rgb="FFFFFF00"/>
      </colorScale>
    </cfRule>
  </conditionalFormatting>
  <conditionalFormatting sqref="KC7:KJ23">
    <cfRule type="cellIs" dxfId="46" priority="34" operator="equal">
      <formula>1</formula>
    </cfRule>
  </conditionalFormatting>
  <conditionalFormatting sqref="KD7:KD23">
    <cfRule type="cellIs" dxfId="45" priority="35" operator="equal">
      <formula>"Hard Case"</formula>
    </cfRule>
  </conditionalFormatting>
  <conditionalFormatting sqref="KN5">
    <cfRule type="colorScale" priority="3">
      <colorScale>
        <cfvo type="num" val="0"/>
        <cfvo type="num" val="500"/>
        <color rgb="FFFFFF00"/>
        <color rgb="FFFFFF00"/>
      </colorScale>
    </cfRule>
  </conditionalFormatting>
  <conditionalFormatting sqref="KO7:KV14">
    <cfRule type="cellIs" dxfId="44" priority="32" operator="equal">
      <formula>1</formula>
    </cfRule>
  </conditionalFormatting>
  <conditionalFormatting sqref="KP7:KP14">
    <cfRule type="cellIs" dxfId="43" priority="33" operator="equal">
      <formula>"Hard Case"</formula>
    </cfRule>
  </conditionalFormatting>
  <conditionalFormatting sqref="KZ5">
    <cfRule type="colorScale" priority="2">
      <colorScale>
        <cfvo type="num" val="0"/>
        <cfvo type="num" val="500"/>
        <color rgb="FFFFFF00"/>
        <color rgb="FFFFFF00"/>
      </colorScale>
    </cfRule>
  </conditionalFormatting>
  <conditionalFormatting sqref="LA7:LH12">
    <cfRule type="cellIs" dxfId="42" priority="30" operator="equal">
      <formula>1</formula>
    </cfRule>
  </conditionalFormatting>
  <conditionalFormatting sqref="LB7:LB12">
    <cfRule type="cellIs" dxfId="41" priority="31" operator="equal">
      <formula>"Hard Case"</formula>
    </cfRule>
  </conditionalFormatting>
  <conditionalFormatting sqref="LL5">
    <cfRule type="colorScale" priority="1">
      <colorScale>
        <cfvo type="num" val="0"/>
        <cfvo type="num" val="500"/>
        <color rgb="FFFFFF00"/>
        <color rgb="FFFFFF00"/>
      </colorScale>
    </cfRule>
  </conditionalFormatting>
  <conditionalFormatting sqref="LM7:LT11">
    <cfRule type="cellIs" dxfId="40" priority="28" operator="equal">
      <formula>1</formula>
    </cfRule>
  </conditionalFormatting>
  <conditionalFormatting sqref="LN7:LN11">
    <cfRule type="cellIs" dxfId="39" priority="29" operator="equal">
      <formula>"Hard Case"</formula>
    </cfRule>
  </conditionalFormatting>
  <conditionalFormatting sqref="LX1 GV1:GZ3 HH1:HL3 HT1:HX3 IF1:IJ3 IR1:IV3 JD1:JH3 JP1:JT3 KB1:KF3 KN1:KR3 KZ1:LD3 LL1:LP3 GV4 HH4 HT4 IF4 IR4 JD4 JP4 KB4 KN4 KZ4 LL4">
    <cfRule type="containsText" dxfId="38" priority="100" operator="containsText" text="Complete Set">
      <formula>NOT(ISERROR(SEARCH("Complete Set",GV1)))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D57F29-35CE-448B-8E12-6D5ACB410CFE}">
          <x14:formula1>
            <xm:f>DropDown!$B$2:$B$65</xm:f>
          </x14:formula1>
          <xm:sqref>KT7:KT14 R7:R8 AP7:AP9 BB7:BB8 G7 AD7:AD8 BZ7:BZ23 CL7:CL18 CX7:CX11 DJ7:DJ12 EH7 ET7:ET8 FF7 DV7:DV13 FR7:FR13 GP7:GP9 HB7:HB11 GD7:GD16 HN7:HN13 HZ7:HZ14 IL7:IL24 IX7:IX13 JJ7:JJ16 JV7:JV18 KH7:KH23 LF7:LF12 BN7:BN9 LR7:LR11</xm:sqref>
        </x14:dataValidation>
        <x14:dataValidation type="list" allowBlank="1" showInputMessage="1" showErrorMessage="1" xr:uid="{DC29F00D-7702-44DD-811E-8552C344D702}">
          <x14:formula1>
            <xm:f>DropDown!$E$3:$E$4</xm:f>
          </x14:formula1>
          <xm:sqref>N7:N8 Z7:Z8 AL7:AL9 AX7:AX8 BJ7:BJ9 CH7:CH18 CT7:CT11 DF7:DF12 DR7:DR13 ED7 EP7:EP8 FB7 FN7:FN13 FZ7:FZ16 GL7:GL9 GX7:GX11 HJ7:HJ13 HV7:HV14 IH7:IH24 IT7:IT13 JF7:JF16 JR7:JR18 KD7:KD23 KP7:KP14 LB7:LB12 LN7:LN11 BV7:BV23 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1E8D-18AC-4BA6-861A-74D27262AE48}">
  <sheetPr>
    <tabColor theme="0"/>
  </sheetPr>
  <dimension ref="A1:LH193"/>
  <sheetViews>
    <sheetView zoomScale="40" zoomScaleNormal="40" workbookViewId="0">
      <selection activeCell="CZ11" sqref="CZ11"/>
    </sheetView>
  </sheetViews>
  <sheetFormatPr baseColWidth="10" defaultColWidth="8.83203125" defaultRowHeight="15"/>
  <cols>
    <col min="1" max="1" width="13.83203125" style="18" customWidth="1"/>
    <col min="2" max="5" width="7.5" style="18" customWidth="1"/>
    <col min="6" max="6" width="15.5" style="18" customWidth="1"/>
    <col min="7" max="8" width="16.33203125" style="18" customWidth="1"/>
    <col min="9" max="9" width="22.5" style="18" customWidth="1"/>
    <col min="10" max="10" width="8.83203125" style="18"/>
    <col min="11" max="11" width="3.5" style="1" customWidth="1"/>
    <col min="12" max="12" width="11.5" style="18" customWidth="1"/>
    <col min="13" max="16" width="5.5" style="18" customWidth="1"/>
    <col min="17" max="19" width="12.5" style="39" customWidth="1"/>
    <col min="20" max="20" width="17.5" style="18" customWidth="1"/>
    <col min="21" max="21" width="9.1640625" style="40" customWidth="1"/>
    <col min="22" max="22" width="3.5" style="63" customWidth="1"/>
    <col min="23" max="23" width="11.5" style="18" customWidth="1"/>
    <col min="24" max="27" width="5.5" style="18" customWidth="1"/>
    <col min="28" max="30" width="12.5" style="18" customWidth="1"/>
    <col min="31" max="31" width="17.5" style="18" customWidth="1"/>
    <col min="32" max="32" width="9.1640625" style="18" customWidth="1"/>
    <col min="33" max="33" width="3.5" style="63" customWidth="1"/>
    <col min="34" max="34" width="11.5" style="18" customWidth="1"/>
    <col min="35" max="38" width="5.5" style="18" customWidth="1"/>
    <col min="39" max="41" width="12.5" style="18" customWidth="1"/>
    <col min="42" max="42" width="17.5" style="18" customWidth="1"/>
    <col min="43" max="43" width="9.1640625" style="18" customWidth="1"/>
    <col min="44" max="44" width="3.5" style="63" customWidth="1"/>
    <col min="45" max="45" width="11.5" style="18" customWidth="1"/>
    <col min="46" max="49" width="5.5" style="18" customWidth="1"/>
    <col min="50" max="52" width="12.5" style="18" customWidth="1"/>
    <col min="53" max="53" width="17.5" style="18" customWidth="1"/>
    <col min="54" max="54" width="9.1640625" style="18" customWidth="1"/>
    <col min="55" max="55" width="3.5" style="63" customWidth="1"/>
    <col min="56" max="56" width="11.5" style="18" customWidth="1"/>
    <col min="57" max="60" width="5.5" style="18" customWidth="1"/>
    <col min="61" max="63" width="12.5" style="18" customWidth="1"/>
    <col min="64" max="64" width="17.5" style="18" customWidth="1"/>
    <col min="65" max="65" width="9.1640625" style="18" customWidth="1"/>
    <col min="66" max="66" width="3.5" style="63" customWidth="1"/>
    <col min="67" max="67" width="11.5" style="18" customWidth="1"/>
    <col min="68" max="71" width="5.5" style="18" customWidth="1"/>
    <col min="72" max="74" width="12.5" style="18" customWidth="1"/>
    <col min="75" max="75" width="17.5" style="18" customWidth="1"/>
    <col min="76" max="76" width="9.1640625" style="18" customWidth="1"/>
    <col min="77" max="77" width="3.5" style="1" customWidth="1"/>
    <col min="78" max="78" width="11.5" style="18" customWidth="1"/>
    <col min="79" max="82" width="5.5" style="18" customWidth="1"/>
    <col min="83" max="85" width="12.5" style="18" customWidth="1"/>
    <col min="86" max="86" width="17.5" style="18" customWidth="1"/>
    <col min="87" max="87" width="9.1640625" style="18" customWidth="1"/>
    <col min="88" max="88" width="3.5" style="1" customWidth="1"/>
    <col min="89" max="89" width="11.5" style="18" customWidth="1"/>
    <col min="90" max="93" width="5.5" style="18" customWidth="1"/>
    <col min="94" max="96" width="12.5" style="18" customWidth="1"/>
    <col min="97" max="97" width="17.5" style="18" customWidth="1"/>
    <col min="98" max="98" width="9.1640625" style="18" customWidth="1"/>
    <col min="99" max="99" width="3.5" style="1" customWidth="1"/>
    <col min="100" max="100" width="11.5" style="18" customWidth="1"/>
    <col min="101" max="104" width="5.5" style="18" customWidth="1"/>
    <col min="105" max="107" width="12.5" style="18" customWidth="1"/>
    <col min="108" max="108" width="17.5" style="18" customWidth="1"/>
    <col min="109" max="109" width="9.1640625" style="18" customWidth="1"/>
    <col min="110" max="110" width="3.5" style="1" customWidth="1"/>
    <col min="111" max="111" width="11.5" style="18" customWidth="1"/>
    <col min="112" max="115" width="5.5" style="18" customWidth="1"/>
    <col min="116" max="118" width="12.5" style="18" customWidth="1"/>
    <col min="119" max="119" width="17.5" style="18" customWidth="1"/>
    <col min="120" max="120" width="9.1640625" style="18" customWidth="1"/>
    <col min="121" max="121" width="3.5" style="1" customWidth="1"/>
    <col min="122" max="122" width="11.5" style="18" customWidth="1"/>
    <col min="123" max="125" width="5.5" style="18" customWidth="1"/>
    <col min="126" max="126" width="12.5" style="18" customWidth="1"/>
    <col min="127" max="127" width="17.5" style="18" customWidth="1"/>
    <col min="128" max="128" width="9.1640625" style="18" customWidth="1"/>
    <col min="129" max="129" width="3.5" style="18" customWidth="1"/>
    <col min="130" max="130" width="11.5" style="18" customWidth="1"/>
    <col min="131" max="133" width="5.5" style="18" customWidth="1"/>
    <col min="134" max="134" width="12.5" style="18" customWidth="1"/>
    <col min="135" max="135" width="17.5" style="18" customWidth="1"/>
    <col min="136" max="136" width="9.1640625" style="18" customWidth="1"/>
    <col min="137" max="137" width="3.5" style="18" customWidth="1"/>
    <col min="138" max="138" width="11.5" style="18" customWidth="1"/>
    <col min="139" max="141" width="5.5" style="18" customWidth="1"/>
    <col min="142" max="142" width="12.5" style="18" customWidth="1"/>
    <col min="143" max="143" width="17.5" style="18" customWidth="1"/>
    <col min="144" max="144" width="9.1640625" style="18" customWidth="1"/>
    <col min="145" max="145" width="3.5" style="18" customWidth="1"/>
    <col min="146" max="146" width="11.5" style="18" customWidth="1"/>
    <col min="147" max="149" width="5.5" style="18" customWidth="1"/>
    <col min="150" max="150" width="12.5" style="18" customWidth="1"/>
    <col min="151" max="151" width="17.5" style="18" customWidth="1"/>
    <col min="152" max="152" width="9.1640625" style="18" customWidth="1"/>
    <col min="153" max="153" width="3.5" style="18" customWidth="1"/>
    <col min="154" max="154" width="11.5" style="18" customWidth="1"/>
    <col min="155" max="157" width="5.5" style="18" customWidth="1"/>
    <col min="158" max="158" width="12.5" style="18" customWidth="1"/>
    <col min="159" max="159" width="17.5" style="18" customWidth="1"/>
    <col min="160" max="160" width="9.1640625" style="18" customWidth="1"/>
    <col min="161" max="161" width="3.5" style="18" customWidth="1"/>
    <col min="162" max="162" width="11.5" style="18" customWidth="1"/>
    <col min="163" max="165" width="5.5" style="18" customWidth="1"/>
    <col min="166" max="166" width="12.5" style="18" customWidth="1"/>
    <col min="167" max="167" width="17.5" style="18" customWidth="1"/>
    <col min="168" max="168" width="9.1640625" style="18" customWidth="1"/>
    <col min="169" max="169" width="3.5" style="18" customWidth="1"/>
    <col min="170" max="170" width="11.5" style="18" customWidth="1"/>
    <col min="171" max="173" width="5.5" style="18" customWidth="1"/>
    <col min="174" max="174" width="12.5" style="18" customWidth="1"/>
    <col min="175" max="175" width="17.5" style="18" customWidth="1"/>
    <col min="176" max="176" width="9.1640625" style="18" customWidth="1"/>
    <col min="177" max="177" width="3.5" style="18" customWidth="1"/>
    <col min="178" max="178" width="11.5" style="18" customWidth="1"/>
    <col min="179" max="181" width="5.5" style="18" customWidth="1"/>
    <col min="182" max="182" width="12.5" style="18" customWidth="1"/>
    <col min="183" max="183" width="17.5" style="18" customWidth="1"/>
    <col min="184" max="184" width="9.1640625" style="18" customWidth="1"/>
    <col min="185" max="185" width="3.5" style="18" customWidth="1"/>
    <col min="186" max="186" width="11.5" style="18" customWidth="1"/>
    <col min="187" max="189" width="5.5" style="18" customWidth="1"/>
    <col min="190" max="190" width="12.5" style="18" customWidth="1"/>
    <col min="191" max="191" width="17.5" style="18" customWidth="1"/>
    <col min="192" max="192" width="9.1640625" style="18" customWidth="1"/>
    <col min="193" max="193" width="3.5" style="18" customWidth="1"/>
    <col min="194" max="194" width="11.5" style="18" customWidth="1"/>
    <col min="195" max="197" width="5.5" style="18" customWidth="1"/>
    <col min="198" max="198" width="12.5" style="18" customWidth="1"/>
    <col min="199" max="199" width="17.5" style="18" customWidth="1"/>
    <col min="200" max="200" width="9.1640625" style="18" customWidth="1"/>
    <col min="201" max="201" width="3.5" style="18" customWidth="1"/>
    <col min="202" max="202" width="11.5" style="18" customWidth="1"/>
    <col min="203" max="205" width="5.5" style="18" customWidth="1"/>
    <col min="206" max="206" width="12.5" style="18" customWidth="1"/>
    <col min="207" max="207" width="17.5" style="18" customWidth="1"/>
    <col min="208" max="208" width="9.1640625" style="18" customWidth="1"/>
    <col min="209" max="209" width="3.5" style="18" customWidth="1"/>
    <col min="210" max="210" width="11.5" style="18" customWidth="1"/>
    <col min="211" max="213" width="5.5" style="18" customWidth="1"/>
    <col min="214" max="214" width="12.5" style="18" customWidth="1"/>
    <col min="215" max="215" width="17.5" style="18" customWidth="1"/>
    <col min="216" max="216" width="9.1640625" style="18" customWidth="1"/>
    <col min="217" max="217" width="3.5" style="18" customWidth="1"/>
    <col min="218" max="218" width="11.5" style="18" customWidth="1"/>
    <col min="219" max="221" width="5.5" style="18" customWidth="1"/>
    <col min="222" max="222" width="12.5" style="18" customWidth="1"/>
    <col min="223" max="223" width="17.5" style="18" customWidth="1"/>
    <col min="224" max="224" width="9.1640625" style="18" customWidth="1"/>
    <col min="225" max="225" width="3.5" style="18" customWidth="1"/>
    <col min="226" max="226" width="11.5" style="18" customWidth="1"/>
    <col min="227" max="229" width="5.5" style="18" customWidth="1"/>
    <col min="230" max="230" width="12.5" style="18" customWidth="1"/>
    <col min="231" max="231" width="17.5" style="18" customWidth="1"/>
    <col min="232" max="232" width="9.1640625" style="18" customWidth="1"/>
    <col min="233" max="233" width="3.5" style="18" customWidth="1"/>
    <col min="234" max="234" width="11.5" style="18" customWidth="1"/>
    <col min="235" max="237" width="5.5" style="18" customWidth="1"/>
    <col min="238" max="238" width="12.5" style="18" customWidth="1"/>
    <col min="239" max="239" width="17.5" style="18" customWidth="1"/>
    <col min="240" max="240" width="9.1640625" style="18" customWidth="1"/>
    <col min="241" max="241" width="3.5" style="18" customWidth="1"/>
    <col min="242" max="242" width="11.5" style="18" customWidth="1"/>
    <col min="243" max="245" width="5.5" style="18" customWidth="1"/>
    <col min="246" max="246" width="12.5" style="18" customWidth="1"/>
    <col min="247" max="247" width="17.5" style="18" customWidth="1"/>
    <col min="248" max="248" width="9.1640625" style="18" customWidth="1"/>
    <col min="249" max="249" width="3.5" style="18" customWidth="1"/>
    <col min="250" max="250" width="11.5" style="18" customWidth="1"/>
    <col min="251" max="253" width="5.5" style="18" customWidth="1"/>
    <col min="254" max="254" width="12.5" style="18" customWidth="1"/>
    <col min="255" max="255" width="17.5" style="18" customWidth="1"/>
    <col min="256" max="256" width="9.1640625" style="18" customWidth="1"/>
    <col min="257" max="257" width="3.5" style="18" customWidth="1"/>
    <col min="258" max="258" width="11.5" style="18" customWidth="1"/>
    <col min="259" max="261" width="5.5" style="18" customWidth="1"/>
    <col min="262" max="262" width="12.5" style="18" customWidth="1"/>
    <col min="263" max="263" width="17.5" style="18" customWidth="1"/>
    <col min="264" max="264" width="9.1640625" style="18" customWidth="1"/>
    <col min="265" max="265" width="3.5" style="18" customWidth="1"/>
    <col min="266" max="266" width="11.5" style="18" customWidth="1"/>
    <col min="267" max="269" width="5.5" style="18" customWidth="1"/>
    <col min="270" max="270" width="12.5" style="18" customWidth="1"/>
    <col min="271" max="271" width="17.5" style="18" customWidth="1"/>
    <col min="272" max="272" width="9.1640625" style="18" customWidth="1"/>
    <col min="273" max="273" width="3.5" style="18" customWidth="1"/>
    <col min="274" max="274" width="11.5" style="18" customWidth="1"/>
    <col min="275" max="277" width="5.5" style="18" customWidth="1"/>
    <col min="278" max="278" width="12.5" style="18" customWidth="1"/>
    <col min="279" max="279" width="17.5" style="18" customWidth="1"/>
    <col min="280" max="280" width="9.1640625" style="18" customWidth="1"/>
    <col min="281" max="281" width="3.5" style="18" customWidth="1"/>
    <col min="282" max="282" width="11.5" style="18" customWidth="1"/>
    <col min="283" max="285" width="5.5" style="18" customWidth="1"/>
    <col min="286" max="286" width="12.5" style="18" customWidth="1"/>
    <col min="287" max="287" width="17.5" style="18" customWidth="1"/>
    <col min="288" max="288" width="9.1640625" style="18" customWidth="1"/>
    <col min="289" max="289" width="3.5" style="18" customWidth="1"/>
    <col min="290" max="290" width="11.5" style="18" customWidth="1"/>
    <col min="291" max="293" width="5.5" style="18" customWidth="1"/>
    <col min="294" max="294" width="12.5" style="18" customWidth="1"/>
    <col min="295" max="295" width="17.5" style="18" customWidth="1"/>
    <col min="296" max="296" width="9.1640625" style="18" customWidth="1"/>
    <col min="297" max="297" width="3.5" style="18" customWidth="1"/>
    <col min="298" max="298" width="13.83203125" style="18" customWidth="1"/>
    <col min="299" max="299" width="7.5" style="18" customWidth="1"/>
    <col min="300" max="300" width="15.5" style="18" customWidth="1"/>
    <col min="301" max="301" width="20.83203125" style="18" customWidth="1"/>
    <col min="302" max="302" width="8.83203125" style="18"/>
    <col min="303" max="303" width="5" style="18" customWidth="1"/>
    <col min="304" max="304" width="13.83203125" style="18" customWidth="1"/>
    <col min="305" max="305" width="7.5" style="18" customWidth="1"/>
    <col min="306" max="306" width="15.5" style="18" customWidth="1"/>
    <col min="307" max="307" width="20.5" style="18" customWidth="1"/>
    <col min="308" max="308" width="8.83203125" style="18"/>
    <col min="309" max="309" width="5" style="18" customWidth="1"/>
    <col min="310" max="310" width="13.83203125" style="18" customWidth="1"/>
    <col min="311" max="311" width="7.5" style="18" customWidth="1"/>
    <col min="312" max="312" width="15.5" style="18" customWidth="1"/>
    <col min="313" max="313" width="22.1640625" style="18" customWidth="1"/>
    <col min="314" max="314" width="8.83203125" style="18"/>
    <col min="315" max="315" width="5" style="18" customWidth="1"/>
    <col min="316" max="316" width="13.83203125" style="18" customWidth="1"/>
    <col min="317" max="317" width="7.5" style="18" customWidth="1"/>
    <col min="318" max="318" width="15.5" style="18" customWidth="1"/>
    <col min="319" max="319" width="20" style="18" customWidth="1"/>
    <col min="320" max="320" width="8.83203125" style="18"/>
    <col min="321" max="321" width="5" customWidth="1"/>
    <col min="322" max="322" width="13.83203125" customWidth="1"/>
    <col min="323" max="323" width="7.5" customWidth="1"/>
    <col min="324" max="324" width="15.5" customWidth="1"/>
    <col min="325" max="325" width="19.1640625" customWidth="1"/>
    <col min="327" max="327" width="5" customWidth="1"/>
    <col min="328" max="328" width="13.83203125" customWidth="1"/>
    <col min="329" max="329" width="7.5" customWidth="1"/>
    <col min="330" max="330" width="15.5" customWidth="1"/>
    <col min="331" max="331" width="20.5" customWidth="1"/>
    <col min="333" max="333" width="5" customWidth="1"/>
    <col min="334" max="334" width="13.83203125" customWidth="1"/>
    <col min="335" max="335" width="7.5" customWidth="1"/>
    <col min="336" max="336" width="15.5" customWidth="1"/>
    <col min="337" max="337" width="20" customWidth="1"/>
    <col min="339" max="339" width="5" customWidth="1"/>
    <col min="340" max="340" width="13.83203125" customWidth="1"/>
    <col min="341" max="341" width="7.5" customWidth="1"/>
    <col min="342" max="342" width="15.5" customWidth="1"/>
    <col min="343" max="343" width="19.1640625" customWidth="1"/>
    <col min="345" max="345" width="5" customWidth="1"/>
    <col min="346" max="346" width="13.83203125" customWidth="1"/>
    <col min="347" max="347" width="7.5" customWidth="1"/>
    <col min="348" max="348" width="15.5" customWidth="1"/>
    <col min="349" max="349" width="20" customWidth="1"/>
    <col min="351" max="351" width="5" customWidth="1"/>
    <col min="352" max="352" width="13.83203125" customWidth="1"/>
    <col min="353" max="353" width="7.5" customWidth="1"/>
    <col min="354" max="354" width="15.5" customWidth="1"/>
    <col min="355" max="355" width="20" customWidth="1"/>
    <col min="357" max="357" width="5" customWidth="1"/>
    <col min="358" max="358" width="13.83203125" customWidth="1"/>
    <col min="359" max="359" width="7.5" customWidth="1"/>
    <col min="360" max="360" width="15.5" customWidth="1"/>
    <col min="361" max="361" width="20" customWidth="1"/>
    <col min="363" max="363" width="5" customWidth="1"/>
    <col min="364" max="364" width="13.83203125" customWidth="1"/>
    <col min="365" max="365" width="7.5" customWidth="1"/>
    <col min="366" max="366" width="15.5" customWidth="1"/>
    <col min="367" max="367" width="20.5" customWidth="1"/>
    <col min="369" max="369" width="5" customWidth="1"/>
  </cols>
  <sheetData>
    <row r="1" spans="1:310" s="53" customFormat="1" ht="24" customHeight="1">
      <c r="A1" s="95" t="s">
        <v>241</v>
      </c>
      <c r="B1" s="96"/>
      <c r="C1" s="99">
        <f>A5+L5+W5+AH5+AS5+BD5+BO5+BZ5+CK5+CV5+DG5+DR5+DZ5+EH5+EP5+EX5+FF5+FN5+FV5+GD5+GL5+GT5+HB5+HJ5+HR5+HZ5+IH5</f>
        <v>59</v>
      </c>
      <c r="D1" s="100"/>
      <c r="E1" s="100"/>
      <c r="F1" s="101"/>
      <c r="G1" s="89">
        <f>C6+N6+Y6+AJ6+AU6+BF6+BQ6+CB6+CM6+CX6+DI6+DT6+EB6+EJ6+ER6+EZ6+FH6+FP6+FX6+GF6+GN6+GV6+HD6+HL6+HT6+IB6+IJ6</f>
        <v>14</v>
      </c>
      <c r="H1" s="89"/>
      <c r="I1" s="78">
        <f>C1-G1</f>
        <v>45</v>
      </c>
      <c r="J1" s="78"/>
      <c r="K1" s="2"/>
      <c r="L1" s="74" t="str">
        <f>IF(L5=M6, "Complete Set", "")</f>
        <v/>
      </c>
      <c r="M1" s="74"/>
      <c r="N1" s="74"/>
      <c r="O1" s="74"/>
      <c r="P1" s="74"/>
      <c r="Q1" s="74"/>
      <c r="R1" s="74"/>
      <c r="S1" s="74"/>
      <c r="T1" s="74"/>
      <c r="U1" s="74"/>
      <c r="V1" s="2"/>
      <c r="W1" s="74" t="str">
        <f>IF(W5=X6, "Complete Set", "")</f>
        <v/>
      </c>
      <c r="X1" s="74"/>
      <c r="Y1" s="74"/>
      <c r="Z1" s="74"/>
      <c r="AA1" s="74"/>
      <c r="AB1" s="74"/>
      <c r="AC1" s="74"/>
      <c r="AD1" s="74"/>
      <c r="AE1" s="74"/>
      <c r="AF1" s="74"/>
      <c r="AG1" s="2"/>
      <c r="AH1" s="74" t="str">
        <f>IF(AH5=AI6, "Complete Set", "")</f>
        <v/>
      </c>
      <c r="AI1" s="74"/>
      <c r="AJ1" s="74"/>
      <c r="AK1" s="74"/>
      <c r="AL1" s="74"/>
      <c r="AM1" s="74"/>
      <c r="AN1" s="74"/>
      <c r="AO1" s="74"/>
      <c r="AP1" s="74"/>
      <c r="AQ1" s="74"/>
      <c r="AR1" s="2"/>
      <c r="AS1" s="74" t="str">
        <f>IF(AS5=AT6, "Complete Set", "")</f>
        <v/>
      </c>
      <c r="AT1" s="74"/>
      <c r="AU1" s="74"/>
      <c r="AV1" s="74"/>
      <c r="AW1" s="74"/>
      <c r="AX1" s="74"/>
      <c r="AY1" s="74"/>
      <c r="AZ1" s="74"/>
      <c r="BA1" s="74"/>
      <c r="BB1" s="74"/>
      <c r="BC1" s="2"/>
      <c r="BD1" s="74" t="str">
        <f>IF(BD5=BE6, "Complete Set", "")</f>
        <v/>
      </c>
      <c r="BE1" s="74"/>
      <c r="BF1" s="74"/>
      <c r="BG1" s="74"/>
      <c r="BH1" s="74"/>
      <c r="BI1" s="74"/>
      <c r="BJ1" s="74"/>
      <c r="BK1" s="74"/>
      <c r="BL1" s="74"/>
      <c r="BM1" s="74"/>
      <c r="BN1" s="2"/>
      <c r="BO1" s="74" t="str">
        <f>IF(BO5=BP6, "Complete Set", "")</f>
        <v/>
      </c>
      <c r="BP1" s="74"/>
      <c r="BQ1" s="74"/>
      <c r="BR1" s="74"/>
      <c r="BS1" s="74"/>
      <c r="BT1" s="74"/>
      <c r="BU1" s="74"/>
      <c r="BV1" s="74"/>
      <c r="BW1" s="74"/>
      <c r="BX1" s="74"/>
      <c r="BY1" s="2"/>
      <c r="BZ1" s="74" t="str">
        <f>IF(BZ5=CA6, "Complete Set", "")</f>
        <v/>
      </c>
      <c r="CA1" s="74"/>
      <c r="CB1" s="74"/>
      <c r="CC1" s="74"/>
      <c r="CD1" s="74"/>
      <c r="CE1" s="74"/>
      <c r="CF1" s="74"/>
      <c r="CG1" s="74"/>
      <c r="CH1" s="74"/>
      <c r="CI1" s="74"/>
      <c r="CJ1" s="2"/>
      <c r="CK1" s="74" t="str">
        <f>IF(CK5=CL6, "Complete Set", "")</f>
        <v/>
      </c>
      <c r="CL1" s="74"/>
      <c r="CM1" s="74"/>
      <c r="CN1" s="74"/>
      <c r="CO1" s="74"/>
      <c r="CP1" s="74"/>
      <c r="CQ1" s="74"/>
      <c r="CR1" s="74"/>
      <c r="CS1" s="74"/>
      <c r="CT1" s="74"/>
      <c r="CU1" s="2"/>
      <c r="CV1" s="74" t="str">
        <f>IF(CV5=CW6, "Complete Set", "")</f>
        <v/>
      </c>
      <c r="CW1" s="74"/>
      <c r="CX1" s="74"/>
      <c r="CY1" s="74"/>
      <c r="CZ1" s="74"/>
      <c r="DA1" s="74"/>
      <c r="DB1" s="74"/>
      <c r="DC1" s="74"/>
      <c r="DD1" s="74"/>
      <c r="DE1" s="74"/>
      <c r="DF1" s="2"/>
      <c r="DG1" s="74" t="str">
        <f>IF(DG5=DH6, "Complete Set", "")</f>
        <v/>
      </c>
      <c r="DH1" s="74"/>
      <c r="DI1" s="74"/>
      <c r="DJ1" s="74"/>
      <c r="DK1" s="74"/>
      <c r="DL1" s="74"/>
      <c r="DM1" s="74"/>
      <c r="DN1" s="74"/>
      <c r="DO1" s="74"/>
      <c r="DP1" s="74"/>
      <c r="DQ1" s="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  <c r="IX1" s="52"/>
      <c r="IY1" s="52"/>
      <c r="IZ1" s="52"/>
      <c r="JA1" s="52"/>
      <c r="JB1" s="52"/>
      <c r="JC1" s="52"/>
      <c r="JD1" s="52"/>
      <c r="JE1" s="52"/>
      <c r="JF1" s="52"/>
      <c r="JG1" s="52"/>
      <c r="JH1" s="52"/>
      <c r="JI1" s="52"/>
      <c r="JJ1" s="52"/>
      <c r="JK1" s="52"/>
      <c r="JL1" s="52"/>
      <c r="JM1" s="52"/>
      <c r="JN1" s="52"/>
      <c r="JO1" s="52"/>
      <c r="JP1" s="52"/>
      <c r="JQ1" s="52"/>
      <c r="JR1" s="52"/>
      <c r="JS1" s="52"/>
      <c r="JT1" s="52"/>
      <c r="JU1" s="52"/>
      <c r="JV1" s="52"/>
      <c r="JW1" s="52"/>
      <c r="JX1" s="52"/>
      <c r="JY1" s="52"/>
      <c r="JZ1" s="52"/>
      <c r="KA1" s="52"/>
      <c r="KB1" s="52"/>
      <c r="KC1" s="52"/>
      <c r="KD1" s="52"/>
      <c r="KE1" s="52"/>
      <c r="KF1" s="52"/>
      <c r="KG1" s="52"/>
      <c r="KH1" s="52"/>
      <c r="KI1" s="52"/>
      <c r="KJ1" s="52"/>
      <c r="KK1" s="52"/>
      <c r="KL1" s="52"/>
      <c r="KM1" s="52"/>
      <c r="KN1" s="52"/>
      <c r="KO1" s="52"/>
      <c r="KP1" s="52"/>
      <c r="KQ1" s="52"/>
      <c r="KR1" s="52"/>
      <c r="KS1" s="52"/>
      <c r="KT1" s="52"/>
      <c r="KU1" s="52"/>
      <c r="KV1" s="52"/>
      <c r="KW1" s="52"/>
      <c r="KX1" s="52"/>
    </row>
    <row r="2" spans="1:310" s="53" customFormat="1" ht="24" customHeight="1">
      <c r="A2" s="97"/>
      <c r="B2" s="98"/>
      <c r="C2" s="75">
        <f>C1-B6-M6-X6-AI6-AT6-BE6-BP6-CA6-CL6-CW6-DH6-DS6-EA6-EI6-EQ6-EY6-FG6-FO6-FW6-GE6-GM6-GU6-HC6-HK6-HS6-IA6-II6</f>
        <v>59</v>
      </c>
      <c r="D2" s="75"/>
      <c r="E2" s="75"/>
      <c r="F2" s="75"/>
      <c r="G2" s="76">
        <f>G1-(C5+N5+Y5+AJ5+AU5+BF5+BQ5+CB5+CM5+CX5+DI5+DT5+EE5+EP5+FA5+FL5+FW5+GH5+GS5+HD5+HO5+HZ5+IK5+IV5+JG5+JR5+KC5+KN5+KY5+LJ5+LU5+MF5+MQ5+NB5+NM5+NX5+OI5+OT5+PE5+PP5+QA5+QL5+QW5+RH5+RS5+SD5+SO5+SZ5+TK5+TV5+UG5+UR5)</f>
        <v>14</v>
      </c>
      <c r="H2" s="77"/>
      <c r="I2" s="91">
        <f>C2-G2</f>
        <v>45</v>
      </c>
      <c r="J2" s="91"/>
      <c r="K2" s="2"/>
      <c r="L2" s="74"/>
      <c r="M2" s="74"/>
      <c r="N2" s="74"/>
      <c r="O2" s="74"/>
      <c r="P2" s="74"/>
      <c r="Q2" s="74"/>
      <c r="R2" s="74"/>
      <c r="S2" s="74"/>
      <c r="T2" s="74"/>
      <c r="U2" s="74"/>
      <c r="V2" s="2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2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2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2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2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2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2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2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2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52"/>
      <c r="JW2" s="52"/>
      <c r="JX2" s="52"/>
      <c r="JY2" s="52"/>
      <c r="JZ2" s="52"/>
      <c r="KA2" s="52"/>
      <c r="KB2" s="52"/>
      <c r="KC2" s="52"/>
      <c r="KD2" s="52"/>
      <c r="KE2" s="52"/>
      <c r="KF2" s="52"/>
      <c r="KG2" s="52"/>
      <c r="KH2" s="52"/>
      <c r="KI2" s="52"/>
      <c r="KJ2" s="52"/>
      <c r="KK2" s="52"/>
      <c r="KL2" s="52"/>
      <c r="KM2" s="52"/>
      <c r="KN2" s="52"/>
      <c r="KO2" s="52"/>
      <c r="KP2" s="52"/>
      <c r="KQ2" s="52"/>
      <c r="KR2" s="52"/>
      <c r="KS2" s="52"/>
      <c r="KT2" s="52"/>
      <c r="KU2" s="52"/>
      <c r="KV2" s="52"/>
      <c r="KW2" s="52"/>
      <c r="KX2" s="52"/>
    </row>
    <row r="3" spans="1:310" s="53" customFormat="1" ht="24" customHeight="1">
      <c r="A3" s="54" t="s">
        <v>1</v>
      </c>
      <c r="B3" s="5"/>
      <c r="C3" s="5"/>
      <c r="D3" s="5"/>
      <c r="E3" s="5"/>
      <c r="F3" s="55">
        <f>F6+Q6+AB6+AM6+AX6+BI6+BT6+CE6+CP6+DA6+DL6+DV6+ED6+EL6+ET6+FB6+FJ6+FR6+FZ6+GH6+GP6+GX6+HF6+HN6+HV6+ID6+IL6</f>
        <v>2850</v>
      </c>
      <c r="G3" s="92">
        <f>F5+Q5+AB5+AM5+AX5+BI5+BT5+CE5+CP5+DA5+DL5+DW6+EE6+EM6+EU6+FC6+FK6+FS6+GA6+GI6+GQ6+GY6+HG6+HO6+HW6+IE6+IM6</f>
        <v>0</v>
      </c>
      <c r="H3" s="93"/>
      <c r="I3" s="93"/>
      <c r="J3" s="94"/>
      <c r="K3" s="2"/>
      <c r="L3" s="74"/>
      <c r="M3" s="74"/>
      <c r="N3" s="74"/>
      <c r="O3" s="74"/>
      <c r="P3" s="74"/>
      <c r="Q3" s="74"/>
      <c r="R3" s="74"/>
      <c r="S3" s="74"/>
      <c r="T3" s="74"/>
      <c r="U3" s="74"/>
      <c r="V3" s="2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2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2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2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2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2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2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2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2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52"/>
      <c r="JW3" s="52"/>
      <c r="JX3" s="52"/>
      <c r="JY3" s="52"/>
      <c r="JZ3" s="52"/>
      <c r="KA3" s="52"/>
      <c r="KB3" s="52"/>
      <c r="KC3" s="52"/>
      <c r="KD3" s="52"/>
      <c r="KE3" s="52"/>
      <c r="KF3" s="52"/>
      <c r="KG3" s="52"/>
      <c r="KH3" s="52"/>
      <c r="KI3" s="52"/>
      <c r="KJ3" s="52"/>
      <c r="KK3" s="52"/>
      <c r="KL3" s="52"/>
      <c r="KM3" s="52"/>
      <c r="KN3" s="52"/>
      <c r="KO3" s="52"/>
      <c r="KP3" s="52"/>
      <c r="KQ3" s="52"/>
      <c r="KR3" s="52"/>
      <c r="KS3" s="52"/>
      <c r="KT3" s="52"/>
      <c r="KU3" s="52"/>
      <c r="KV3" s="52"/>
      <c r="KW3" s="52"/>
      <c r="KX3" s="52"/>
    </row>
    <row r="4" spans="1:310" ht="20">
      <c r="A4" s="71" t="s">
        <v>242</v>
      </c>
      <c r="B4" s="72"/>
      <c r="C4" s="72"/>
      <c r="D4" s="72"/>
      <c r="E4" s="72"/>
      <c r="F4" s="72"/>
      <c r="G4" s="72"/>
      <c r="H4" s="72"/>
      <c r="I4" s="72"/>
      <c r="J4" s="73"/>
      <c r="L4" s="90" t="s">
        <v>243</v>
      </c>
      <c r="M4" s="90"/>
      <c r="N4" s="90"/>
      <c r="O4" s="90"/>
      <c r="P4" s="90"/>
      <c r="Q4" s="90"/>
      <c r="R4" s="90"/>
      <c r="S4" s="90"/>
      <c r="T4" s="90"/>
      <c r="U4" s="90"/>
      <c r="V4" s="1"/>
      <c r="W4" s="90" t="s">
        <v>244</v>
      </c>
      <c r="X4" s="90"/>
      <c r="Y4" s="90"/>
      <c r="Z4" s="90"/>
      <c r="AA4" s="90"/>
      <c r="AB4" s="90"/>
      <c r="AC4" s="90"/>
      <c r="AD4" s="90"/>
      <c r="AE4" s="90"/>
      <c r="AF4" s="90"/>
      <c r="AG4" s="1"/>
      <c r="AH4" s="90" t="s">
        <v>245</v>
      </c>
      <c r="AI4" s="90"/>
      <c r="AJ4" s="90"/>
      <c r="AK4" s="90"/>
      <c r="AL4" s="90"/>
      <c r="AM4" s="90"/>
      <c r="AN4" s="90"/>
      <c r="AO4" s="90"/>
      <c r="AP4" s="90"/>
      <c r="AQ4" s="90"/>
      <c r="AR4" s="1"/>
      <c r="AS4" s="90" t="s">
        <v>246</v>
      </c>
      <c r="AT4" s="90"/>
      <c r="AU4" s="90"/>
      <c r="AV4" s="90"/>
      <c r="AW4" s="90"/>
      <c r="AX4" s="90"/>
      <c r="AY4" s="90"/>
      <c r="AZ4" s="90"/>
      <c r="BA4" s="90"/>
      <c r="BB4" s="90"/>
      <c r="BC4" s="1"/>
      <c r="BD4" s="90" t="s">
        <v>247</v>
      </c>
      <c r="BE4" s="90"/>
      <c r="BF4" s="90"/>
      <c r="BG4" s="90"/>
      <c r="BH4" s="90"/>
      <c r="BI4" s="90"/>
      <c r="BJ4" s="90"/>
      <c r="BK4" s="90"/>
      <c r="BL4" s="90"/>
      <c r="BM4" s="90"/>
      <c r="BN4" s="1"/>
      <c r="BO4" s="90" t="s">
        <v>248</v>
      </c>
      <c r="BP4" s="90"/>
      <c r="BQ4" s="90"/>
      <c r="BR4" s="90"/>
      <c r="BS4" s="90"/>
      <c r="BT4" s="90"/>
      <c r="BU4" s="90"/>
      <c r="BV4" s="90"/>
      <c r="BW4" s="90"/>
      <c r="BX4" s="90"/>
      <c r="BZ4" s="90" t="s">
        <v>249</v>
      </c>
      <c r="CA4" s="90"/>
      <c r="CB4" s="90"/>
      <c r="CC4" s="90"/>
      <c r="CD4" s="90"/>
      <c r="CE4" s="90"/>
      <c r="CF4" s="90"/>
      <c r="CG4" s="90"/>
      <c r="CH4" s="90"/>
      <c r="CI4" s="90"/>
      <c r="CK4" s="90" t="s">
        <v>250</v>
      </c>
      <c r="CL4" s="90"/>
      <c r="CM4" s="90"/>
      <c r="CN4" s="90"/>
      <c r="CO4" s="90"/>
      <c r="CP4" s="90"/>
      <c r="CQ4" s="90"/>
      <c r="CR4" s="90"/>
      <c r="CS4" s="90"/>
      <c r="CT4" s="90"/>
      <c r="CV4" s="90" t="s">
        <v>251</v>
      </c>
      <c r="CW4" s="90"/>
      <c r="CX4" s="90"/>
      <c r="CY4" s="90"/>
      <c r="CZ4" s="90"/>
      <c r="DA4" s="90"/>
      <c r="DB4" s="90"/>
      <c r="DC4" s="90"/>
      <c r="DD4" s="90"/>
      <c r="DE4" s="90"/>
      <c r="DG4" s="90" t="s">
        <v>252</v>
      </c>
      <c r="DH4" s="90"/>
      <c r="DI4" s="90"/>
      <c r="DJ4" s="90"/>
      <c r="DK4" s="90"/>
      <c r="DL4" s="90"/>
      <c r="DM4" s="90"/>
      <c r="DN4" s="90"/>
      <c r="DO4" s="90"/>
      <c r="DP4" s="90"/>
    </row>
    <row r="5" spans="1:310" s="13" customFormat="1" ht="16">
      <c r="A5" s="7">
        <f>MAX(A7:A502)</f>
        <v>14</v>
      </c>
      <c r="B5" s="8"/>
      <c r="C5" s="8">
        <f>SUMIF(C7:C500, "Hard Case", B7:B500)</f>
        <v>0</v>
      </c>
      <c r="D5" s="8"/>
      <c r="E5" s="67" t="s">
        <v>31</v>
      </c>
      <c r="F5" s="9">
        <f>SUMIF(B7:B502,1,F7:F502)</f>
        <v>0</v>
      </c>
      <c r="G5" s="10" t="s">
        <v>32</v>
      </c>
      <c r="H5" s="10" t="s">
        <v>33</v>
      </c>
      <c r="I5" s="8"/>
      <c r="J5" s="11"/>
      <c r="K5" s="12"/>
      <c r="L5" s="7">
        <f>MAX(L7:L502)</f>
        <v>2</v>
      </c>
      <c r="M5" s="8"/>
      <c r="N5" s="8">
        <f>SUMIF(N7:N500, "Hard Case", M7:M500)</f>
        <v>0</v>
      </c>
      <c r="O5" s="8"/>
      <c r="P5" s="69" t="s">
        <v>31</v>
      </c>
      <c r="Q5" s="9">
        <f>SUMIF(M7:M502,1,Q7:Q502)</f>
        <v>0</v>
      </c>
      <c r="R5" s="10" t="s">
        <v>32</v>
      </c>
      <c r="S5" s="10" t="s">
        <v>33</v>
      </c>
      <c r="T5" s="8"/>
      <c r="U5" s="11"/>
      <c r="V5" s="12"/>
      <c r="W5" s="7">
        <f>MAX(W7:W502)</f>
        <v>14</v>
      </c>
      <c r="X5" s="8"/>
      <c r="Y5" s="8">
        <f>SUMIF(Y7:Y500, "Hard Case", X7:X500)</f>
        <v>0</v>
      </c>
      <c r="Z5" s="8"/>
      <c r="AA5" s="69" t="s">
        <v>31</v>
      </c>
      <c r="AB5" s="9">
        <f>SUMIF(X7:X502,1,AB7:AB502)</f>
        <v>0</v>
      </c>
      <c r="AC5" s="10" t="s">
        <v>32</v>
      </c>
      <c r="AD5" s="10" t="s">
        <v>33</v>
      </c>
      <c r="AE5" s="8"/>
      <c r="AF5" s="11"/>
      <c r="AG5" s="12"/>
      <c r="AH5" s="7">
        <f>MAX(AH7:AH502)</f>
        <v>4</v>
      </c>
      <c r="AI5" s="8"/>
      <c r="AJ5" s="8">
        <f>SUMIF(AJ7:AJ500, "Hard Case", AI7:AI500)</f>
        <v>0</v>
      </c>
      <c r="AK5" s="8"/>
      <c r="AL5" s="69" t="s">
        <v>31</v>
      </c>
      <c r="AM5" s="9">
        <f>SUMIF(AI7:AI502,1,AM7:AM502)</f>
        <v>0</v>
      </c>
      <c r="AN5" s="10" t="s">
        <v>32</v>
      </c>
      <c r="AO5" s="10" t="s">
        <v>33</v>
      </c>
      <c r="AP5" s="8"/>
      <c r="AQ5" s="11"/>
      <c r="AR5" s="12"/>
      <c r="AS5" s="7">
        <f>MAX(AS7:AS502)</f>
        <v>6</v>
      </c>
      <c r="AT5" s="8"/>
      <c r="AU5" s="8">
        <f>SUMIF(AU7:AU500, "Hard Case", AT7:AT500)</f>
        <v>0</v>
      </c>
      <c r="AV5" s="8"/>
      <c r="AW5" s="67" t="s">
        <v>31</v>
      </c>
      <c r="AX5" s="9">
        <f>SUMIF(AT7:AT502,1,AX7:AX502)</f>
        <v>0</v>
      </c>
      <c r="AY5" s="10" t="s">
        <v>32</v>
      </c>
      <c r="AZ5" s="10" t="s">
        <v>33</v>
      </c>
      <c r="BA5" s="8"/>
      <c r="BB5" s="11"/>
      <c r="BC5" s="12"/>
      <c r="BD5" s="7">
        <f>MAX(BD7:BD502)</f>
        <v>2</v>
      </c>
      <c r="BE5" s="8"/>
      <c r="BF5" s="8">
        <f>SUMIF(BF7:BF500, "Hard Case", BE7:BE500)</f>
        <v>0</v>
      </c>
      <c r="BG5" s="8"/>
      <c r="BH5" s="69" t="s">
        <v>31</v>
      </c>
      <c r="BI5" s="9">
        <f>SUMIF(BE7:BE502,1,BI7:BI502)</f>
        <v>0</v>
      </c>
      <c r="BJ5" s="10" t="s">
        <v>32</v>
      </c>
      <c r="BK5" s="10" t="s">
        <v>33</v>
      </c>
      <c r="BL5" s="8"/>
      <c r="BM5" s="11"/>
      <c r="BN5" s="12"/>
      <c r="BO5" s="7">
        <f>MAX(BO7:BO502)</f>
        <v>3</v>
      </c>
      <c r="BP5" s="8"/>
      <c r="BQ5" s="8">
        <f>SUMIF(BQ7:BQ500, "Hard Case", BP7:BP500)</f>
        <v>0</v>
      </c>
      <c r="BR5" s="8"/>
      <c r="BS5" s="69" t="s">
        <v>31</v>
      </c>
      <c r="BT5" s="9">
        <f>SUMIF(BP7:BP502,1,BT7:BT502)</f>
        <v>0</v>
      </c>
      <c r="BU5" s="10" t="s">
        <v>32</v>
      </c>
      <c r="BV5" s="10" t="s">
        <v>33</v>
      </c>
      <c r="BW5" s="8"/>
      <c r="BX5" s="11"/>
      <c r="BY5" s="12"/>
      <c r="BZ5" s="7">
        <f>MAX(BZ7:BZ502)</f>
        <v>4</v>
      </c>
      <c r="CA5" s="8"/>
      <c r="CB5" s="8">
        <f>SUMIF(CB7:CB500, "Hard Case", CA7:CA500)</f>
        <v>0</v>
      </c>
      <c r="CC5" s="8"/>
      <c r="CD5" s="69" t="s">
        <v>31</v>
      </c>
      <c r="CE5" s="9">
        <f>SUMIF(CA7:CA502,1,CE7:CE502)</f>
        <v>0</v>
      </c>
      <c r="CF5" s="10" t="s">
        <v>32</v>
      </c>
      <c r="CG5" s="10" t="s">
        <v>33</v>
      </c>
      <c r="CH5" s="8"/>
      <c r="CI5" s="11"/>
      <c r="CJ5" s="12"/>
      <c r="CK5" s="7">
        <f>MAX(CK7:CK502)</f>
        <v>5</v>
      </c>
      <c r="CL5" s="8"/>
      <c r="CM5" s="8">
        <f>SUMIF(CM7:CM500, "Hard Case", CL7:CL500)</f>
        <v>0</v>
      </c>
      <c r="CN5" s="8"/>
      <c r="CO5" s="69" t="s">
        <v>31</v>
      </c>
      <c r="CP5" s="9">
        <f>SUMIF(CL7:CL502,1,CP7:CP502)</f>
        <v>0</v>
      </c>
      <c r="CQ5" s="10" t="s">
        <v>32</v>
      </c>
      <c r="CR5" s="10" t="s">
        <v>33</v>
      </c>
      <c r="CS5" s="8"/>
      <c r="CT5" s="11"/>
      <c r="CU5" s="12"/>
      <c r="CV5" s="7">
        <f>MAX(CV7:CV502)</f>
        <v>2</v>
      </c>
      <c r="CW5" s="8"/>
      <c r="CX5" s="8">
        <f>SUMIF(CX7:CX500, "Hard Case", CW7:CW500)</f>
        <v>0</v>
      </c>
      <c r="CY5" s="8"/>
      <c r="CZ5" s="69" t="s">
        <v>31</v>
      </c>
      <c r="DA5" s="9">
        <f>SUMIF(CW7:CW502,1,DA7:DA502)</f>
        <v>0</v>
      </c>
      <c r="DB5" s="10" t="s">
        <v>32</v>
      </c>
      <c r="DC5" s="10" t="s">
        <v>33</v>
      </c>
      <c r="DD5" s="8"/>
      <c r="DE5" s="11"/>
      <c r="DF5" s="12"/>
      <c r="DG5" s="7">
        <f>MAX(DG7:DG502)</f>
        <v>3</v>
      </c>
      <c r="DH5" s="8"/>
      <c r="DI5" s="8">
        <f>SUMIF(DI7:DI500, "Hard Case", DH7:DH500)</f>
        <v>0</v>
      </c>
      <c r="DJ5" s="8"/>
      <c r="DK5" s="69" t="s">
        <v>31</v>
      </c>
      <c r="DL5" s="9">
        <f>SUMIF(DH7:DH502,1,DL7:DL502)</f>
        <v>0</v>
      </c>
      <c r="DM5" s="10" t="s">
        <v>32</v>
      </c>
      <c r="DN5" s="10" t="s">
        <v>33</v>
      </c>
      <c r="DO5" s="8"/>
      <c r="DP5" s="11"/>
      <c r="DQ5" s="12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</row>
    <row r="6" spans="1:310" ht="16">
      <c r="A6" s="14"/>
      <c r="B6" s="15">
        <f>SUM(B7:B500)</f>
        <v>0</v>
      </c>
      <c r="C6" s="15">
        <f>COUNTIF(C7:C500, "Hard Case")</f>
        <v>14</v>
      </c>
      <c r="D6" s="15" t="s">
        <v>30</v>
      </c>
      <c r="E6" s="68"/>
      <c r="F6" s="16">
        <f>SUM(F7:F500)</f>
        <v>950</v>
      </c>
      <c r="G6" s="17" t="s">
        <v>35</v>
      </c>
      <c r="H6" s="10" t="s">
        <v>36</v>
      </c>
      <c r="J6" s="19"/>
      <c r="L6" s="14"/>
      <c r="M6" s="15">
        <f>SUM(M7:M500)</f>
        <v>0</v>
      </c>
      <c r="N6" s="15">
        <f>COUNTIF(N7:N500, "Hard Case")</f>
        <v>0</v>
      </c>
      <c r="O6" s="15" t="s">
        <v>30</v>
      </c>
      <c r="P6" s="70"/>
      <c r="Q6" s="16">
        <f>SUM(Q7:Q500)</f>
        <v>100</v>
      </c>
      <c r="R6" s="17" t="s">
        <v>35</v>
      </c>
      <c r="S6" s="10" t="s">
        <v>36</v>
      </c>
      <c r="U6" s="19"/>
      <c r="V6" s="1"/>
      <c r="W6" s="14"/>
      <c r="X6" s="15">
        <f>SUM(X7:X500)</f>
        <v>0</v>
      </c>
      <c r="Y6" s="15">
        <f>COUNTIF(Y7:Y500, "Hard Case")</f>
        <v>0</v>
      </c>
      <c r="Z6" s="15" t="s">
        <v>30</v>
      </c>
      <c r="AA6" s="70"/>
      <c r="AB6" s="16">
        <f>SUM(AB7:AB500)</f>
        <v>750</v>
      </c>
      <c r="AC6" s="17" t="s">
        <v>35</v>
      </c>
      <c r="AD6" s="10" t="s">
        <v>36</v>
      </c>
      <c r="AF6" s="19"/>
      <c r="AG6" s="1"/>
      <c r="AH6" s="14"/>
      <c r="AI6" s="15">
        <f>SUM(AI7:AI500)</f>
        <v>0</v>
      </c>
      <c r="AJ6" s="15">
        <f>COUNTIF(AJ7:AJ500, "Hard Case")</f>
        <v>0</v>
      </c>
      <c r="AK6" s="15" t="s">
        <v>30</v>
      </c>
      <c r="AL6" s="70"/>
      <c r="AM6" s="16">
        <f>SUM(AM7:AM500)</f>
        <v>100</v>
      </c>
      <c r="AN6" s="17" t="s">
        <v>35</v>
      </c>
      <c r="AO6" s="10" t="s">
        <v>36</v>
      </c>
      <c r="AQ6" s="19"/>
      <c r="AR6" s="1"/>
      <c r="AS6" s="14"/>
      <c r="AT6" s="15">
        <f>SUM(AT7:AT500)</f>
        <v>0</v>
      </c>
      <c r="AU6" s="15">
        <f>COUNTIF(AU7:AU500, "Hard Case")</f>
        <v>0</v>
      </c>
      <c r="AV6" s="15" t="s">
        <v>30</v>
      </c>
      <c r="AW6" s="68"/>
      <c r="AX6" s="16">
        <f>SUM(AX7:AX500)</f>
        <v>220</v>
      </c>
      <c r="AY6" s="17" t="s">
        <v>35</v>
      </c>
      <c r="AZ6" s="10" t="s">
        <v>36</v>
      </c>
      <c r="BB6" s="19"/>
      <c r="BC6" s="1"/>
      <c r="BD6" s="14"/>
      <c r="BE6" s="15">
        <f>SUM(BE7:BE500)</f>
        <v>0</v>
      </c>
      <c r="BF6" s="15">
        <f>COUNTIF(BF7:BF500, "Hard Case")</f>
        <v>0</v>
      </c>
      <c r="BG6" s="15" t="s">
        <v>30</v>
      </c>
      <c r="BH6" s="70"/>
      <c r="BI6" s="16">
        <f>SUM(BI7:BI500)</f>
        <v>100</v>
      </c>
      <c r="BJ6" s="17" t="s">
        <v>35</v>
      </c>
      <c r="BK6" s="10" t="s">
        <v>36</v>
      </c>
      <c r="BM6" s="19"/>
      <c r="BN6" s="1"/>
      <c r="BO6" s="14"/>
      <c r="BP6" s="15">
        <f>SUM(BP7:BP500)</f>
        <v>0</v>
      </c>
      <c r="BQ6" s="15">
        <f>COUNTIF(BQ7:BQ500, "Hard Case")</f>
        <v>0</v>
      </c>
      <c r="BR6" s="15" t="s">
        <v>30</v>
      </c>
      <c r="BS6" s="70"/>
      <c r="BT6" s="16">
        <f>SUM(BT7:BT500)</f>
        <v>90</v>
      </c>
      <c r="BU6" s="17" t="s">
        <v>35</v>
      </c>
      <c r="BV6" s="10" t="s">
        <v>36</v>
      </c>
      <c r="BX6" s="19"/>
      <c r="BZ6" s="14"/>
      <c r="CA6" s="15">
        <f>SUM(CA7:CA500)</f>
        <v>0</v>
      </c>
      <c r="CB6" s="15">
        <f>COUNTIF(CB7:CB500, "Hard Case")</f>
        <v>0</v>
      </c>
      <c r="CC6" s="15" t="s">
        <v>30</v>
      </c>
      <c r="CD6" s="70"/>
      <c r="CE6" s="16">
        <f>SUM(CE7:CE500)</f>
        <v>155</v>
      </c>
      <c r="CF6" s="17" t="s">
        <v>35</v>
      </c>
      <c r="CG6" s="10" t="s">
        <v>36</v>
      </c>
      <c r="CI6" s="19"/>
      <c r="CK6" s="14"/>
      <c r="CL6" s="15">
        <f>SUM(CL7:CL500)</f>
        <v>0</v>
      </c>
      <c r="CM6" s="15">
        <f>COUNTIF(CM7:CM500, "Hard Case")</f>
        <v>0</v>
      </c>
      <c r="CN6" s="15" t="s">
        <v>30</v>
      </c>
      <c r="CO6" s="70"/>
      <c r="CP6" s="16">
        <f>SUM(CP7:CP500)</f>
        <v>265</v>
      </c>
      <c r="CQ6" s="17" t="s">
        <v>35</v>
      </c>
      <c r="CR6" s="10" t="s">
        <v>36</v>
      </c>
      <c r="CT6" s="19"/>
      <c r="CV6" s="14"/>
      <c r="CW6" s="15">
        <f>SUM(CW7:CW500)</f>
        <v>0</v>
      </c>
      <c r="CX6" s="15">
        <f>COUNTIF(CX7:CX500, "Hard Case")</f>
        <v>0</v>
      </c>
      <c r="CY6" s="15" t="s">
        <v>30</v>
      </c>
      <c r="CZ6" s="70"/>
      <c r="DA6" s="16">
        <f>SUM(DA7:DA500)</f>
        <v>50</v>
      </c>
      <c r="DB6" s="17" t="s">
        <v>35</v>
      </c>
      <c r="DC6" s="10" t="s">
        <v>36</v>
      </c>
      <c r="DE6" s="19"/>
      <c r="DG6" s="14"/>
      <c r="DH6" s="15">
        <f>SUM(DH7:DH500)</f>
        <v>0</v>
      </c>
      <c r="DI6" s="15">
        <f>COUNTIF(DI7:DI500, "Hard Case")</f>
        <v>0</v>
      </c>
      <c r="DJ6" s="15" t="s">
        <v>30</v>
      </c>
      <c r="DK6" s="70"/>
      <c r="DL6" s="16">
        <f>SUM(DL7:DL500)</f>
        <v>70</v>
      </c>
      <c r="DM6" s="17" t="s">
        <v>35</v>
      </c>
      <c r="DN6" s="10" t="s">
        <v>36</v>
      </c>
      <c r="DP6" s="19"/>
    </row>
    <row r="7" spans="1:310" ht="135" customHeight="1">
      <c r="A7" s="20">
        <v>1</v>
      </c>
      <c r="B7" s="21">
        <v>0</v>
      </c>
      <c r="C7" s="22" t="s">
        <v>38</v>
      </c>
      <c r="D7" s="23" t="s">
        <v>39</v>
      </c>
      <c r="E7" s="22" t="s">
        <v>59</v>
      </c>
      <c r="F7" s="25">
        <v>100</v>
      </c>
      <c r="G7" s="25" t="s">
        <v>312</v>
      </c>
      <c r="H7" s="35">
        <v>7846</v>
      </c>
      <c r="I7" s="44"/>
      <c r="J7" s="28" t="s">
        <v>253</v>
      </c>
      <c r="L7" s="20">
        <v>1</v>
      </c>
      <c r="M7" s="21">
        <v>0</v>
      </c>
      <c r="N7" s="22" t="s">
        <v>45</v>
      </c>
      <c r="O7" s="23" t="s">
        <v>39</v>
      </c>
      <c r="P7" s="22" t="s">
        <v>42</v>
      </c>
      <c r="Q7" s="25">
        <v>50</v>
      </c>
      <c r="R7" s="25" t="s">
        <v>312</v>
      </c>
      <c r="S7" s="26"/>
      <c r="T7" s="27"/>
      <c r="U7" s="28" t="s">
        <v>254</v>
      </c>
      <c r="V7" s="1"/>
      <c r="W7" s="20">
        <v>1</v>
      </c>
      <c r="X7" s="21">
        <v>0</v>
      </c>
      <c r="Y7" s="22" t="s">
        <v>45</v>
      </c>
      <c r="Z7" s="23" t="s">
        <v>39</v>
      </c>
      <c r="AA7" s="22" t="s">
        <v>59</v>
      </c>
      <c r="AB7" s="25">
        <v>25</v>
      </c>
      <c r="AC7" s="25" t="s">
        <v>312</v>
      </c>
      <c r="AD7" s="30">
        <v>10000</v>
      </c>
      <c r="AE7" s="27"/>
      <c r="AF7" s="28" t="s">
        <v>255</v>
      </c>
      <c r="AG7" s="1"/>
      <c r="AH7" s="20">
        <v>1</v>
      </c>
      <c r="AI7" s="56">
        <v>0</v>
      </c>
      <c r="AJ7" s="22" t="s">
        <v>45</v>
      </c>
      <c r="AK7" s="23" t="s">
        <v>39</v>
      </c>
      <c r="AL7" s="22" t="s">
        <v>59</v>
      </c>
      <c r="AM7" s="25">
        <v>25</v>
      </c>
      <c r="AN7" s="25" t="s">
        <v>312</v>
      </c>
      <c r="AO7" s="26"/>
      <c r="AP7" s="44"/>
      <c r="AQ7" s="28" t="s">
        <v>256</v>
      </c>
      <c r="AR7" s="1"/>
      <c r="AS7" s="20">
        <v>1</v>
      </c>
      <c r="AT7" s="21">
        <v>0</v>
      </c>
      <c r="AU7" s="22" t="s">
        <v>45</v>
      </c>
      <c r="AV7" s="23" t="s">
        <v>39</v>
      </c>
      <c r="AW7" s="22" t="s">
        <v>59</v>
      </c>
      <c r="AX7" s="25">
        <v>35</v>
      </c>
      <c r="AY7" s="25" t="s">
        <v>312</v>
      </c>
      <c r="AZ7" s="30">
        <v>4523</v>
      </c>
      <c r="BA7" s="44"/>
      <c r="BB7" s="28" t="s">
        <v>257</v>
      </c>
      <c r="BC7" s="1"/>
      <c r="BD7" s="20">
        <v>1</v>
      </c>
      <c r="BE7" s="21">
        <v>0</v>
      </c>
      <c r="BF7" s="22" t="s">
        <v>45</v>
      </c>
      <c r="BG7" s="23" t="s">
        <v>39</v>
      </c>
      <c r="BH7" s="22" t="s">
        <v>59</v>
      </c>
      <c r="BI7" s="25">
        <v>50</v>
      </c>
      <c r="BJ7" s="25" t="s">
        <v>312</v>
      </c>
      <c r="BK7" s="30">
        <v>1998</v>
      </c>
      <c r="BL7" s="44"/>
      <c r="BM7" s="28" t="s">
        <v>258</v>
      </c>
      <c r="BN7" s="1"/>
      <c r="BO7" s="20">
        <v>1</v>
      </c>
      <c r="BP7" s="21">
        <v>0</v>
      </c>
      <c r="BQ7" s="22" t="s">
        <v>45</v>
      </c>
      <c r="BR7" s="23" t="s">
        <v>39</v>
      </c>
      <c r="BS7" s="22" t="s">
        <v>59</v>
      </c>
      <c r="BT7" s="25">
        <v>30</v>
      </c>
      <c r="BU7" s="25" t="s">
        <v>312</v>
      </c>
      <c r="BV7" s="26"/>
      <c r="BW7" s="27"/>
      <c r="BX7" s="28" t="s">
        <v>259</v>
      </c>
      <c r="BZ7" s="20">
        <v>1</v>
      </c>
      <c r="CA7" s="21">
        <v>0</v>
      </c>
      <c r="CB7" s="22" t="s">
        <v>45</v>
      </c>
      <c r="CC7" s="23" t="s">
        <v>39</v>
      </c>
      <c r="CD7" s="22" t="s">
        <v>59</v>
      </c>
      <c r="CE7" s="25">
        <v>30</v>
      </c>
      <c r="CF7" s="25" t="s">
        <v>312</v>
      </c>
      <c r="CG7" s="30"/>
      <c r="CH7" s="27"/>
      <c r="CI7" s="28" t="s">
        <v>260</v>
      </c>
      <c r="CK7" s="20">
        <v>1</v>
      </c>
      <c r="CL7" s="21">
        <v>0</v>
      </c>
      <c r="CM7" s="22" t="s">
        <v>45</v>
      </c>
      <c r="CN7" s="23" t="s">
        <v>39</v>
      </c>
      <c r="CO7" s="22" t="s">
        <v>59</v>
      </c>
      <c r="CP7" s="25">
        <v>20</v>
      </c>
      <c r="CQ7" s="25" t="s">
        <v>312</v>
      </c>
      <c r="CR7" s="26"/>
      <c r="CS7" s="44"/>
      <c r="CT7" s="28" t="s">
        <v>261</v>
      </c>
      <c r="CV7" s="20">
        <v>1</v>
      </c>
      <c r="CW7" s="21">
        <v>0</v>
      </c>
      <c r="CX7" s="22" t="s">
        <v>45</v>
      </c>
      <c r="CY7" s="23" t="s">
        <v>39</v>
      </c>
      <c r="CZ7" s="22" t="s">
        <v>59</v>
      </c>
      <c r="DA7" s="25">
        <v>25</v>
      </c>
      <c r="DB7" s="25" t="s">
        <v>312</v>
      </c>
      <c r="DC7" s="26"/>
      <c r="DD7" s="44"/>
      <c r="DE7" s="28" t="s">
        <v>262</v>
      </c>
      <c r="DG7" s="20">
        <v>1</v>
      </c>
      <c r="DH7" s="21">
        <v>0</v>
      </c>
      <c r="DI7" s="22" t="s">
        <v>45</v>
      </c>
      <c r="DJ7" s="23" t="s">
        <v>39</v>
      </c>
      <c r="DK7" s="22" t="s">
        <v>59</v>
      </c>
      <c r="DL7" s="25">
        <v>30</v>
      </c>
      <c r="DM7" s="25" t="s">
        <v>312</v>
      </c>
      <c r="DN7" s="26"/>
      <c r="DO7" s="44"/>
      <c r="DP7" s="28" t="s">
        <v>263</v>
      </c>
    </row>
    <row r="8" spans="1:310" ht="135" customHeight="1">
      <c r="A8" s="20">
        <f>A7+1</f>
        <v>2</v>
      </c>
      <c r="B8" s="21">
        <v>0</v>
      </c>
      <c r="C8" s="22" t="s">
        <v>38</v>
      </c>
      <c r="D8" s="23" t="s">
        <v>39</v>
      </c>
      <c r="E8" s="22" t="s">
        <v>59</v>
      </c>
      <c r="F8" s="25">
        <v>100</v>
      </c>
      <c r="G8" s="25" t="s">
        <v>312</v>
      </c>
      <c r="H8" s="35">
        <v>4523</v>
      </c>
      <c r="I8" s="57"/>
      <c r="J8" s="28" t="s">
        <v>264</v>
      </c>
      <c r="L8" s="20">
        <f>L7+1</f>
        <v>2</v>
      </c>
      <c r="M8" s="21">
        <v>0</v>
      </c>
      <c r="N8" s="22" t="s">
        <v>45</v>
      </c>
      <c r="O8" s="23" t="s">
        <v>39</v>
      </c>
      <c r="P8" s="22" t="s">
        <v>42</v>
      </c>
      <c r="Q8" s="25">
        <v>50</v>
      </c>
      <c r="R8" s="25" t="s">
        <v>312</v>
      </c>
      <c r="S8" s="25"/>
      <c r="T8" s="27"/>
      <c r="U8" s="28" t="s">
        <v>265</v>
      </c>
      <c r="V8" s="1"/>
      <c r="W8" s="20">
        <f t="shared" ref="W8:W20" si="0">W7+1</f>
        <v>2</v>
      </c>
      <c r="X8" s="21">
        <v>0</v>
      </c>
      <c r="Y8" s="22" t="s">
        <v>45</v>
      </c>
      <c r="Z8" s="23" t="s">
        <v>39</v>
      </c>
      <c r="AA8" s="22" t="s">
        <v>59</v>
      </c>
      <c r="AB8" s="25">
        <v>100</v>
      </c>
      <c r="AC8" s="25" t="s">
        <v>312</v>
      </c>
      <c r="AD8" s="30">
        <v>19860</v>
      </c>
      <c r="AE8" s="44"/>
      <c r="AF8" s="28" t="s">
        <v>266</v>
      </c>
      <c r="AG8" s="1"/>
      <c r="AH8" s="20">
        <f>AH7+1</f>
        <v>2</v>
      </c>
      <c r="AI8" s="56">
        <v>0</v>
      </c>
      <c r="AJ8" s="22" t="s">
        <v>45</v>
      </c>
      <c r="AK8" s="23" t="s">
        <v>39</v>
      </c>
      <c r="AL8" s="22" t="s">
        <v>59</v>
      </c>
      <c r="AM8" s="25">
        <v>25</v>
      </c>
      <c r="AN8" s="25" t="s">
        <v>312</v>
      </c>
      <c r="AO8" s="25"/>
      <c r="AP8" s="44"/>
      <c r="AQ8" s="28" t="s">
        <v>267</v>
      </c>
      <c r="AR8" s="1"/>
      <c r="AS8" s="20">
        <f>AS7+1</f>
        <v>2</v>
      </c>
      <c r="AT8" s="21">
        <v>0</v>
      </c>
      <c r="AU8" s="22" t="s">
        <v>45</v>
      </c>
      <c r="AV8" s="23" t="s">
        <v>39</v>
      </c>
      <c r="AW8" s="22" t="s">
        <v>59</v>
      </c>
      <c r="AX8" s="25">
        <v>35</v>
      </c>
      <c r="AY8" s="25" t="s">
        <v>312</v>
      </c>
      <c r="AZ8" s="30">
        <v>4523</v>
      </c>
      <c r="BA8" s="44"/>
      <c r="BB8" s="28" t="s">
        <v>268</v>
      </c>
      <c r="BC8" s="1"/>
      <c r="BD8" s="20">
        <f>BD7+1</f>
        <v>2</v>
      </c>
      <c r="BE8" s="21">
        <v>0</v>
      </c>
      <c r="BF8" s="22" t="s">
        <v>45</v>
      </c>
      <c r="BG8" s="23" t="s">
        <v>39</v>
      </c>
      <c r="BH8" s="22" t="s">
        <v>59</v>
      </c>
      <c r="BI8" s="25">
        <v>50</v>
      </c>
      <c r="BJ8" s="25" t="s">
        <v>312</v>
      </c>
      <c r="BK8" s="25"/>
      <c r="BL8" s="44"/>
      <c r="BM8" s="28" t="s">
        <v>269</v>
      </c>
      <c r="BN8" s="1"/>
      <c r="BO8" s="20">
        <f>BO7+1</f>
        <v>2</v>
      </c>
      <c r="BP8" s="21">
        <v>0</v>
      </c>
      <c r="BQ8" s="22" t="s">
        <v>45</v>
      </c>
      <c r="BR8" s="23" t="s">
        <v>39</v>
      </c>
      <c r="BS8" s="22" t="s">
        <v>59</v>
      </c>
      <c r="BT8" s="25">
        <v>30</v>
      </c>
      <c r="BU8" s="25" t="s">
        <v>312</v>
      </c>
      <c r="BV8" s="25"/>
      <c r="BW8" s="44"/>
      <c r="BX8" s="28" t="s">
        <v>270</v>
      </c>
      <c r="BZ8" s="20">
        <f>BZ7+1</f>
        <v>2</v>
      </c>
      <c r="CA8" s="21">
        <v>0</v>
      </c>
      <c r="CB8" s="22" t="s">
        <v>45</v>
      </c>
      <c r="CC8" s="23" t="s">
        <v>39</v>
      </c>
      <c r="CD8" s="22" t="s">
        <v>59</v>
      </c>
      <c r="CE8" s="25">
        <v>30</v>
      </c>
      <c r="CF8" s="25" t="s">
        <v>312</v>
      </c>
      <c r="CG8" s="35"/>
      <c r="CH8" s="27"/>
      <c r="CI8" s="28" t="s">
        <v>271</v>
      </c>
      <c r="CK8" s="20">
        <f>CK7+1</f>
        <v>2</v>
      </c>
      <c r="CL8" s="21">
        <v>0</v>
      </c>
      <c r="CM8" s="22" t="s">
        <v>45</v>
      </c>
      <c r="CN8" s="23" t="s">
        <v>39</v>
      </c>
      <c r="CO8" s="22" t="s">
        <v>59</v>
      </c>
      <c r="CP8" s="25">
        <v>20</v>
      </c>
      <c r="CQ8" s="25" t="s">
        <v>312</v>
      </c>
      <c r="CR8" s="25"/>
      <c r="CS8" s="44"/>
      <c r="CT8" s="28" t="s">
        <v>272</v>
      </c>
      <c r="CV8" s="20">
        <f>CV7+1</f>
        <v>2</v>
      </c>
      <c r="CW8" s="21">
        <v>0</v>
      </c>
      <c r="CX8" s="22" t="s">
        <v>45</v>
      </c>
      <c r="CY8" s="23" t="s">
        <v>39</v>
      </c>
      <c r="CZ8" s="22" t="s">
        <v>59</v>
      </c>
      <c r="DA8" s="25">
        <v>25</v>
      </c>
      <c r="DB8" s="25" t="s">
        <v>312</v>
      </c>
      <c r="DC8" s="25"/>
      <c r="DD8" s="44"/>
      <c r="DE8" s="28" t="s">
        <v>273</v>
      </c>
      <c r="DG8" s="20">
        <f>DG7+1</f>
        <v>2</v>
      </c>
      <c r="DH8" s="21">
        <v>0</v>
      </c>
      <c r="DI8" s="22" t="s">
        <v>45</v>
      </c>
      <c r="DJ8" s="23" t="s">
        <v>39</v>
      </c>
      <c r="DK8" s="22" t="s">
        <v>59</v>
      </c>
      <c r="DL8" s="25">
        <v>20</v>
      </c>
      <c r="DM8" s="25" t="s">
        <v>312</v>
      </c>
      <c r="DN8" s="25"/>
      <c r="DO8" s="44"/>
      <c r="DP8" s="28" t="s">
        <v>274</v>
      </c>
    </row>
    <row r="9" spans="1:310" ht="135" customHeight="1">
      <c r="A9" s="20">
        <f t="shared" ref="A9:A20" si="1">A8+1</f>
        <v>3</v>
      </c>
      <c r="B9" s="21">
        <v>0</v>
      </c>
      <c r="C9" s="22" t="s">
        <v>38</v>
      </c>
      <c r="D9" s="23" t="s">
        <v>39</v>
      </c>
      <c r="E9" s="22" t="s">
        <v>59</v>
      </c>
      <c r="F9" s="25">
        <v>100</v>
      </c>
      <c r="G9" s="25" t="s">
        <v>312</v>
      </c>
      <c r="H9" s="58"/>
      <c r="I9" s="59"/>
      <c r="J9" s="28" t="s">
        <v>275</v>
      </c>
      <c r="V9" s="1"/>
      <c r="W9" s="20">
        <f t="shared" si="0"/>
        <v>3</v>
      </c>
      <c r="X9" s="21">
        <v>0</v>
      </c>
      <c r="Y9" s="22" t="s">
        <v>45</v>
      </c>
      <c r="Z9" s="23" t="s">
        <v>39</v>
      </c>
      <c r="AA9" s="22" t="s">
        <v>59</v>
      </c>
      <c r="AB9" s="25">
        <v>100</v>
      </c>
      <c r="AC9" s="25" t="s">
        <v>312</v>
      </c>
      <c r="AD9" s="30">
        <v>10000</v>
      </c>
      <c r="AE9" s="60"/>
      <c r="AF9" s="28" t="s">
        <v>276</v>
      </c>
      <c r="AG9" s="1"/>
      <c r="AH9" s="20">
        <f>AH8+1</f>
        <v>3</v>
      </c>
      <c r="AI9" s="56">
        <v>0</v>
      </c>
      <c r="AJ9" s="22" t="s">
        <v>45</v>
      </c>
      <c r="AK9" s="23" t="s">
        <v>39</v>
      </c>
      <c r="AL9" s="22" t="s">
        <v>59</v>
      </c>
      <c r="AM9" s="25">
        <v>25</v>
      </c>
      <c r="AN9" s="25" t="s">
        <v>312</v>
      </c>
      <c r="AO9" s="30">
        <v>1986</v>
      </c>
      <c r="AP9" s="44"/>
      <c r="AQ9" s="28" t="s">
        <v>277</v>
      </c>
      <c r="AR9" s="1"/>
      <c r="AS9" s="20">
        <f>AS8+1</f>
        <v>3</v>
      </c>
      <c r="AT9" s="21">
        <v>0</v>
      </c>
      <c r="AU9" s="22" t="s">
        <v>45</v>
      </c>
      <c r="AV9" s="23" t="s">
        <v>39</v>
      </c>
      <c r="AW9" s="22" t="s">
        <v>59</v>
      </c>
      <c r="AX9" s="25">
        <v>35</v>
      </c>
      <c r="AY9" s="25" t="s">
        <v>312</v>
      </c>
      <c r="AZ9" s="30">
        <v>4523</v>
      </c>
      <c r="BA9" s="44"/>
      <c r="BB9" s="28" t="s">
        <v>278</v>
      </c>
      <c r="BC9" s="1"/>
      <c r="BN9" s="1"/>
      <c r="BO9" s="20">
        <f>BO8+1</f>
        <v>3</v>
      </c>
      <c r="BP9" s="21">
        <v>0</v>
      </c>
      <c r="BQ9" s="22" t="s">
        <v>45</v>
      </c>
      <c r="BR9" s="23" t="s">
        <v>39</v>
      </c>
      <c r="BS9" s="22" t="s">
        <v>59</v>
      </c>
      <c r="BT9" s="25">
        <v>30</v>
      </c>
      <c r="BU9" s="25" t="s">
        <v>312</v>
      </c>
      <c r="BV9" s="30">
        <v>4523</v>
      </c>
      <c r="BW9" s="44"/>
      <c r="BX9" s="28" t="s">
        <v>279</v>
      </c>
      <c r="BZ9" s="20">
        <f>BZ8+1</f>
        <v>3</v>
      </c>
      <c r="CA9" s="21">
        <v>0</v>
      </c>
      <c r="CB9" s="22" t="s">
        <v>45</v>
      </c>
      <c r="CC9" s="23" t="s">
        <v>39</v>
      </c>
      <c r="CD9" s="22" t="s">
        <v>59</v>
      </c>
      <c r="CE9" s="25">
        <v>30</v>
      </c>
      <c r="CF9" s="25" t="s">
        <v>312</v>
      </c>
      <c r="CG9" s="35"/>
      <c r="CH9" s="44"/>
      <c r="CI9" s="28" t="s">
        <v>280</v>
      </c>
      <c r="CK9" s="20">
        <f>CK8+1</f>
        <v>3</v>
      </c>
      <c r="CL9" s="21">
        <v>0</v>
      </c>
      <c r="CM9" s="22" t="s">
        <v>45</v>
      </c>
      <c r="CN9" s="23" t="s">
        <v>39</v>
      </c>
      <c r="CO9" s="22" t="s">
        <v>59</v>
      </c>
      <c r="CP9" s="25">
        <v>75</v>
      </c>
      <c r="CQ9" s="25" t="s">
        <v>312</v>
      </c>
      <c r="CR9" s="25"/>
      <c r="CS9" s="44"/>
      <c r="CT9" s="28" t="s">
        <v>281</v>
      </c>
      <c r="DG9" s="20">
        <f>DG8+1</f>
        <v>3</v>
      </c>
      <c r="DH9" s="21">
        <v>0</v>
      </c>
      <c r="DI9" s="22" t="s">
        <v>45</v>
      </c>
      <c r="DJ9" s="23" t="s">
        <v>39</v>
      </c>
      <c r="DK9" s="22" t="s">
        <v>59</v>
      </c>
      <c r="DL9" s="25">
        <v>20</v>
      </c>
      <c r="DM9" s="25" t="s">
        <v>312</v>
      </c>
      <c r="DN9" s="25"/>
      <c r="DO9" s="44"/>
      <c r="DP9" s="28" t="s">
        <v>282</v>
      </c>
    </row>
    <row r="10" spans="1:310" ht="135" customHeight="1">
      <c r="A10" s="20">
        <f t="shared" si="1"/>
        <v>4</v>
      </c>
      <c r="B10" s="21">
        <v>0</v>
      </c>
      <c r="C10" s="22" t="s">
        <v>38</v>
      </c>
      <c r="D10" s="23" t="s">
        <v>39</v>
      </c>
      <c r="E10" s="22" t="s">
        <v>59</v>
      </c>
      <c r="F10" s="25">
        <v>100</v>
      </c>
      <c r="G10" s="25" t="s">
        <v>312</v>
      </c>
      <c r="H10" s="58"/>
      <c r="I10" s="60"/>
      <c r="J10" s="28" t="s">
        <v>283</v>
      </c>
      <c r="V10" s="1"/>
      <c r="W10" s="20">
        <f>W9+1</f>
        <v>4</v>
      </c>
      <c r="X10" s="21">
        <v>0</v>
      </c>
      <c r="Y10" s="22" t="s">
        <v>45</v>
      </c>
      <c r="Z10" s="23" t="s">
        <v>39</v>
      </c>
      <c r="AA10" s="22" t="s">
        <v>59</v>
      </c>
      <c r="AB10" s="25">
        <v>100</v>
      </c>
      <c r="AC10" s="25" t="s">
        <v>312</v>
      </c>
      <c r="AD10" s="30">
        <v>10000</v>
      </c>
      <c r="AE10" s="60"/>
      <c r="AF10" s="28" t="s">
        <v>284</v>
      </c>
      <c r="AG10" s="1"/>
      <c r="AH10" s="20">
        <f>AH9+1</f>
        <v>4</v>
      </c>
      <c r="AI10" s="56">
        <v>0</v>
      </c>
      <c r="AJ10" s="22" t="s">
        <v>45</v>
      </c>
      <c r="AK10" s="23" t="s">
        <v>39</v>
      </c>
      <c r="AL10" s="22" t="s">
        <v>59</v>
      </c>
      <c r="AM10" s="25">
        <v>25</v>
      </c>
      <c r="AN10" s="25" t="s">
        <v>312</v>
      </c>
      <c r="AO10" s="30">
        <v>1986</v>
      </c>
      <c r="AP10" s="44"/>
      <c r="AQ10" s="28" t="s">
        <v>285</v>
      </c>
      <c r="AR10" s="1"/>
      <c r="AS10" s="20">
        <f>AS9+1</f>
        <v>4</v>
      </c>
      <c r="AT10" s="21">
        <v>0</v>
      </c>
      <c r="AU10" s="22" t="s">
        <v>45</v>
      </c>
      <c r="AV10" s="23" t="s">
        <v>39</v>
      </c>
      <c r="AW10" s="22" t="s">
        <v>59</v>
      </c>
      <c r="AX10" s="25">
        <v>35</v>
      </c>
      <c r="AY10" s="25" t="s">
        <v>312</v>
      </c>
      <c r="AZ10" s="30">
        <v>4523</v>
      </c>
      <c r="BA10" s="44"/>
      <c r="BB10" s="28" t="s">
        <v>286</v>
      </c>
      <c r="BC10" s="1"/>
      <c r="BN10" s="1"/>
      <c r="BZ10" s="20">
        <f>BZ9+1</f>
        <v>4</v>
      </c>
      <c r="CA10" s="21">
        <v>0</v>
      </c>
      <c r="CB10" s="22" t="s">
        <v>45</v>
      </c>
      <c r="CC10" s="23" t="s">
        <v>39</v>
      </c>
      <c r="CD10" s="22" t="s">
        <v>59</v>
      </c>
      <c r="CE10" s="25">
        <v>65</v>
      </c>
      <c r="CF10" s="25" t="s">
        <v>312</v>
      </c>
      <c r="CG10" s="35">
        <v>4523</v>
      </c>
      <c r="CH10" s="44"/>
      <c r="CI10" s="28" t="s">
        <v>287</v>
      </c>
      <c r="CK10" s="20">
        <f>CK9+1</f>
        <v>4</v>
      </c>
      <c r="CL10" s="21">
        <v>0</v>
      </c>
      <c r="CM10" s="22" t="s">
        <v>45</v>
      </c>
      <c r="CN10" s="23" t="s">
        <v>39</v>
      </c>
      <c r="CO10" s="22" t="s">
        <v>59</v>
      </c>
      <c r="CP10" s="25">
        <v>75</v>
      </c>
      <c r="CQ10" s="25" t="s">
        <v>312</v>
      </c>
      <c r="CR10" s="25"/>
      <c r="CS10" s="44"/>
      <c r="CT10" s="28" t="s">
        <v>288</v>
      </c>
    </row>
    <row r="11" spans="1:310" ht="135" customHeight="1">
      <c r="A11" s="20">
        <f t="shared" si="1"/>
        <v>5</v>
      </c>
      <c r="B11" s="21">
        <v>0</v>
      </c>
      <c r="C11" s="22" t="s">
        <v>38</v>
      </c>
      <c r="D11" s="23" t="s">
        <v>39</v>
      </c>
      <c r="E11" s="22" t="s">
        <v>59</v>
      </c>
      <c r="F11" s="25">
        <v>100</v>
      </c>
      <c r="G11" s="25" t="s">
        <v>312</v>
      </c>
      <c r="H11" s="35">
        <v>999</v>
      </c>
      <c r="I11" s="44"/>
      <c r="J11" s="28" t="s">
        <v>289</v>
      </c>
      <c r="V11" s="1"/>
      <c r="W11" s="20">
        <f t="shared" si="0"/>
        <v>5</v>
      </c>
      <c r="X11" s="21">
        <v>0</v>
      </c>
      <c r="Y11" s="22" t="s">
        <v>45</v>
      </c>
      <c r="Z11" s="23" t="s">
        <v>39</v>
      </c>
      <c r="AA11" s="22" t="s">
        <v>59</v>
      </c>
      <c r="AB11" s="25">
        <v>25</v>
      </c>
      <c r="AC11" s="25" t="s">
        <v>312</v>
      </c>
      <c r="AD11" s="25"/>
      <c r="AE11" s="44"/>
      <c r="AF11" s="28" t="s">
        <v>290</v>
      </c>
      <c r="AG11" s="1"/>
      <c r="AR11" s="1"/>
      <c r="AS11" s="20">
        <f>AS10+1</f>
        <v>5</v>
      </c>
      <c r="AT11" s="21">
        <v>0</v>
      </c>
      <c r="AU11" s="22" t="s">
        <v>45</v>
      </c>
      <c r="AV11" s="23" t="s">
        <v>39</v>
      </c>
      <c r="AW11" s="22" t="s">
        <v>59</v>
      </c>
      <c r="AX11" s="25">
        <v>30</v>
      </c>
      <c r="AY11" s="25" t="s">
        <v>312</v>
      </c>
      <c r="AZ11" s="30">
        <v>19998</v>
      </c>
      <c r="BA11" s="44"/>
      <c r="BB11" s="28" t="s">
        <v>291</v>
      </c>
      <c r="BC11" s="1"/>
      <c r="BN11" s="1"/>
      <c r="CK11" s="20">
        <f>CK10+1</f>
        <v>5</v>
      </c>
      <c r="CL11" s="21">
        <v>0</v>
      </c>
      <c r="CM11" s="22" t="s">
        <v>45</v>
      </c>
      <c r="CN11" s="23" t="s">
        <v>39</v>
      </c>
      <c r="CO11" s="22" t="s">
        <v>59</v>
      </c>
      <c r="CP11" s="25">
        <v>75</v>
      </c>
      <c r="CQ11" s="25" t="s">
        <v>312</v>
      </c>
      <c r="CR11" s="25"/>
      <c r="CS11" s="61"/>
      <c r="CT11" s="28" t="s">
        <v>292</v>
      </c>
    </row>
    <row r="12" spans="1:310" ht="135" customHeight="1">
      <c r="A12" s="20">
        <f t="shared" si="1"/>
        <v>6</v>
      </c>
      <c r="B12" s="21">
        <v>0</v>
      </c>
      <c r="C12" s="22" t="s">
        <v>38</v>
      </c>
      <c r="D12" s="23" t="s">
        <v>39</v>
      </c>
      <c r="E12" s="22" t="s">
        <v>59</v>
      </c>
      <c r="F12" s="25">
        <v>50</v>
      </c>
      <c r="G12" s="25" t="s">
        <v>312</v>
      </c>
      <c r="H12" s="35"/>
      <c r="I12" s="44"/>
      <c r="J12" s="28" t="s">
        <v>293</v>
      </c>
      <c r="V12" s="1"/>
      <c r="W12" s="20">
        <f t="shared" si="0"/>
        <v>6</v>
      </c>
      <c r="X12" s="21">
        <v>0</v>
      </c>
      <c r="Y12" s="22" t="s">
        <v>45</v>
      </c>
      <c r="Z12" s="23" t="s">
        <v>39</v>
      </c>
      <c r="AA12" s="22" t="s">
        <v>59</v>
      </c>
      <c r="AB12" s="25">
        <v>25</v>
      </c>
      <c r="AC12" s="25" t="s">
        <v>312</v>
      </c>
      <c r="AD12" s="25"/>
      <c r="AE12" s="44"/>
      <c r="AF12" s="28" t="s">
        <v>294</v>
      </c>
      <c r="AG12" s="1"/>
      <c r="AR12" s="1"/>
      <c r="AS12" s="20">
        <f>AS11+1</f>
        <v>6</v>
      </c>
      <c r="AT12" s="21">
        <v>0</v>
      </c>
      <c r="AU12" s="22" t="s">
        <v>45</v>
      </c>
      <c r="AV12" s="23" t="s">
        <v>39</v>
      </c>
      <c r="AW12" s="22" t="s">
        <v>59</v>
      </c>
      <c r="AX12" s="25">
        <v>50</v>
      </c>
      <c r="AY12" s="25" t="s">
        <v>312</v>
      </c>
      <c r="AZ12" s="25"/>
      <c r="BA12" s="44"/>
      <c r="BB12" s="28" t="s">
        <v>295</v>
      </c>
      <c r="BC12" s="1"/>
      <c r="BN12" s="1"/>
    </row>
    <row r="13" spans="1:310" ht="135" customHeight="1">
      <c r="A13" s="20">
        <f t="shared" si="1"/>
        <v>7</v>
      </c>
      <c r="B13" s="21">
        <v>0</v>
      </c>
      <c r="C13" s="22" t="s">
        <v>38</v>
      </c>
      <c r="D13" s="23" t="s">
        <v>39</v>
      </c>
      <c r="E13" s="22" t="s">
        <v>59</v>
      </c>
      <c r="F13" s="25">
        <v>50</v>
      </c>
      <c r="G13" s="25" t="s">
        <v>312</v>
      </c>
      <c r="H13" s="35"/>
      <c r="I13" s="44"/>
      <c r="J13" s="28" t="s">
        <v>296</v>
      </c>
      <c r="V13" s="1"/>
      <c r="W13" s="20">
        <f t="shared" si="0"/>
        <v>7</v>
      </c>
      <c r="X13" s="21">
        <v>0</v>
      </c>
      <c r="Y13" s="22" t="s">
        <v>45</v>
      </c>
      <c r="Z13" s="23" t="s">
        <v>39</v>
      </c>
      <c r="AA13" s="22" t="s">
        <v>59</v>
      </c>
      <c r="AB13" s="25">
        <v>75</v>
      </c>
      <c r="AC13" s="25" t="s">
        <v>312</v>
      </c>
      <c r="AD13" s="30">
        <v>10000</v>
      </c>
      <c r="AE13" s="44"/>
      <c r="AF13" s="28" t="s">
        <v>297</v>
      </c>
      <c r="AG13" s="1"/>
      <c r="AR13" s="1"/>
      <c r="BC13" s="1"/>
      <c r="BN13" s="1"/>
    </row>
    <row r="14" spans="1:310" ht="135" customHeight="1">
      <c r="A14" s="20">
        <f t="shared" si="1"/>
        <v>8</v>
      </c>
      <c r="B14" s="21">
        <v>0</v>
      </c>
      <c r="C14" s="22" t="s">
        <v>38</v>
      </c>
      <c r="D14" s="23" t="s">
        <v>39</v>
      </c>
      <c r="E14" s="22" t="s">
        <v>59</v>
      </c>
      <c r="F14" s="25">
        <v>50</v>
      </c>
      <c r="G14" s="25" t="s">
        <v>312</v>
      </c>
      <c r="H14" s="30">
        <v>2323</v>
      </c>
      <c r="I14" s="62"/>
      <c r="J14" s="28" t="s">
        <v>298</v>
      </c>
      <c r="V14" s="1"/>
      <c r="W14" s="20">
        <f t="shared" si="0"/>
        <v>8</v>
      </c>
      <c r="X14" s="21">
        <v>0</v>
      </c>
      <c r="Y14" s="22" t="s">
        <v>45</v>
      </c>
      <c r="Z14" s="23" t="s">
        <v>39</v>
      </c>
      <c r="AA14" s="22" t="s">
        <v>59</v>
      </c>
      <c r="AB14" s="25">
        <v>50</v>
      </c>
      <c r="AC14" s="25" t="s">
        <v>312</v>
      </c>
      <c r="AD14" s="25"/>
      <c r="AE14" s="44"/>
      <c r="AF14" s="28" t="s">
        <v>299</v>
      </c>
      <c r="AG14" s="1"/>
      <c r="AR14" s="1"/>
      <c r="BC14" s="1"/>
      <c r="BN14" s="1"/>
    </row>
    <row r="15" spans="1:310" ht="135" customHeight="1">
      <c r="A15" s="20">
        <f t="shared" si="1"/>
        <v>9</v>
      </c>
      <c r="B15" s="21">
        <v>0</v>
      </c>
      <c r="C15" s="22" t="s">
        <v>38</v>
      </c>
      <c r="D15" s="23" t="s">
        <v>39</v>
      </c>
      <c r="E15" s="22" t="s">
        <v>59</v>
      </c>
      <c r="F15" s="25">
        <v>50</v>
      </c>
      <c r="G15" s="25" t="s">
        <v>312</v>
      </c>
      <c r="H15" s="30">
        <v>2323</v>
      </c>
      <c r="I15" s="62"/>
      <c r="J15" s="28" t="s">
        <v>300</v>
      </c>
      <c r="V15" s="1"/>
      <c r="W15" s="20">
        <f t="shared" si="0"/>
        <v>9</v>
      </c>
      <c r="X15" s="21">
        <v>0</v>
      </c>
      <c r="Y15" s="22" t="s">
        <v>45</v>
      </c>
      <c r="Z15" s="23" t="s">
        <v>39</v>
      </c>
      <c r="AA15" s="22" t="s">
        <v>59</v>
      </c>
      <c r="AB15" s="25">
        <v>75</v>
      </c>
      <c r="AC15" s="25" t="s">
        <v>312</v>
      </c>
      <c r="AD15" s="25"/>
      <c r="AE15" s="44"/>
      <c r="AF15" s="28" t="s">
        <v>301</v>
      </c>
      <c r="AG15" s="1"/>
      <c r="AR15" s="1"/>
      <c r="BC15" s="1"/>
      <c r="BN15" s="1"/>
    </row>
    <row r="16" spans="1:310" ht="135" customHeight="1">
      <c r="A16" s="20">
        <f t="shared" si="1"/>
        <v>10</v>
      </c>
      <c r="B16" s="21">
        <v>0</v>
      </c>
      <c r="C16" s="22" t="s">
        <v>38</v>
      </c>
      <c r="D16" s="23" t="s">
        <v>39</v>
      </c>
      <c r="E16" s="22" t="s">
        <v>59</v>
      </c>
      <c r="F16" s="25">
        <v>50</v>
      </c>
      <c r="G16" s="25" t="s">
        <v>312</v>
      </c>
      <c r="H16" s="30">
        <v>2323</v>
      </c>
      <c r="I16" s="62"/>
      <c r="J16" s="28" t="s">
        <v>302</v>
      </c>
      <c r="V16" s="1"/>
      <c r="W16" s="20">
        <f t="shared" si="0"/>
        <v>10</v>
      </c>
      <c r="X16" s="21">
        <v>0</v>
      </c>
      <c r="Y16" s="22" t="s">
        <v>45</v>
      </c>
      <c r="Z16" s="23" t="s">
        <v>39</v>
      </c>
      <c r="AA16" s="22" t="s">
        <v>59</v>
      </c>
      <c r="AB16" s="25">
        <v>25</v>
      </c>
      <c r="AC16" s="25" t="s">
        <v>312</v>
      </c>
      <c r="AD16" s="25"/>
      <c r="AE16" s="44"/>
      <c r="AF16" s="28" t="s">
        <v>303</v>
      </c>
      <c r="AG16" s="1"/>
      <c r="AR16" s="1"/>
      <c r="BC16" s="1"/>
      <c r="BN16" s="1"/>
    </row>
    <row r="17" spans="1:121" s="18" customFormat="1" ht="135" customHeight="1">
      <c r="A17" s="20">
        <f t="shared" si="1"/>
        <v>11</v>
      </c>
      <c r="B17" s="21">
        <v>0</v>
      </c>
      <c r="C17" s="22" t="s">
        <v>38</v>
      </c>
      <c r="D17" s="23" t="s">
        <v>39</v>
      </c>
      <c r="E17" s="22" t="s">
        <v>59</v>
      </c>
      <c r="F17" s="25">
        <v>50</v>
      </c>
      <c r="G17" s="25" t="s">
        <v>312</v>
      </c>
      <c r="H17" s="30">
        <v>2323</v>
      </c>
      <c r="I17" s="62"/>
      <c r="J17" s="28" t="s">
        <v>304</v>
      </c>
      <c r="K17" s="1"/>
      <c r="Q17" s="39"/>
      <c r="R17" s="39"/>
      <c r="S17" s="39"/>
      <c r="U17" s="40"/>
      <c r="V17" s="1"/>
      <c r="W17" s="20">
        <f t="shared" si="0"/>
        <v>11</v>
      </c>
      <c r="X17" s="21">
        <v>0</v>
      </c>
      <c r="Y17" s="22" t="s">
        <v>45</v>
      </c>
      <c r="Z17" s="23" t="s">
        <v>39</v>
      </c>
      <c r="AA17" s="22" t="s">
        <v>59</v>
      </c>
      <c r="AB17" s="25">
        <v>75</v>
      </c>
      <c r="AC17" s="25" t="s">
        <v>312</v>
      </c>
      <c r="AD17" s="30">
        <v>5000</v>
      </c>
      <c r="AE17" s="44"/>
      <c r="AF17" s="28" t="s">
        <v>305</v>
      </c>
      <c r="AG17" s="1"/>
      <c r="AR17" s="1"/>
      <c r="BC17" s="1"/>
      <c r="BN17" s="1"/>
      <c r="BY17" s="1"/>
      <c r="CJ17" s="1"/>
      <c r="CU17" s="1"/>
      <c r="DF17" s="1"/>
      <c r="DQ17" s="1"/>
    </row>
    <row r="18" spans="1:121" s="18" customFormat="1" ht="135" customHeight="1">
      <c r="A18" s="20">
        <f t="shared" si="1"/>
        <v>12</v>
      </c>
      <c r="B18" s="21">
        <v>0</v>
      </c>
      <c r="C18" s="22" t="s">
        <v>38</v>
      </c>
      <c r="D18" s="23" t="s">
        <v>39</v>
      </c>
      <c r="E18" s="22" t="s">
        <v>59</v>
      </c>
      <c r="F18" s="25">
        <v>50</v>
      </c>
      <c r="G18" s="25" t="s">
        <v>312</v>
      </c>
      <c r="H18" s="30">
        <v>2323</v>
      </c>
      <c r="I18" s="62"/>
      <c r="J18" s="28" t="s">
        <v>306</v>
      </c>
      <c r="K18" s="1"/>
      <c r="Q18" s="39"/>
      <c r="R18" s="39"/>
      <c r="S18" s="39"/>
      <c r="U18" s="40"/>
      <c r="V18" s="1"/>
      <c r="W18" s="20">
        <f t="shared" si="0"/>
        <v>12</v>
      </c>
      <c r="X18" s="21">
        <v>0</v>
      </c>
      <c r="Y18" s="22" t="s">
        <v>45</v>
      </c>
      <c r="Z18" s="23" t="s">
        <v>39</v>
      </c>
      <c r="AA18" s="22" t="s">
        <v>59</v>
      </c>
      <c r="AB18" s="25">
        <v>25</v>
      </c>
      <c r="AC18" s="25" t="s">
        <v>312</v>
      </c>
      <c r="AD18" s="25"/>
      <c r="AE18" s="44"/>
      <c r="AF18" s="28" t="s">
        <v>307</v>
      </c>
      <c r="AG18" s="1"/>
      <c r="AR18" s="1"/>
      <c r="BC18" s="1"/>
      <c r="BN18" s="1"/>
      <c r="BY18" s="1"/>
      <c r="CJ18" s="1"/>
      <c r="CU18" s="1"/>
      <c r="DF18" s="1"/>
      <c r="DQ18" s="1"/>
    </row>
    <row r="19" spans="1:121" ht="135" customHeight="1">
      <c r="A19" s="20">
        <f t="shared" si="1"/>
        <v>13</v>
      </c>
      <c r="B19" s="21">
        <v>0</v>
      </c>
      <c r="C19" s="22" t="s">
        <v>38</v>
      </c>
      <c r="D19" s="23" t="s">
        <v>39</v>
      </c>
      <c r="E19" s="22" t="s">
        <v>59</v>
      </c>
      <c r="F19" s="25">
        <v>50</v>
      </c>
      <c r="G19" s="25" t="s">
        <v>312</v>
      </c>
      <c r="H19" s="30">
        <v>2323</v>
      </c>
      <c r="I19" s="62"/>
      <c r="J19" s="28" t="s">
        <v>308</v>
      </c>
      <c r="W19" s="20">
        <f t="shared" si="0"/>
        <v>13</v>
      </c>
      <c r="X19" s="21">
        <v>0</v>
      </c>
      <c r="Y19" s="22" t="s">
        <v>45</v>
      </c>
      <c r="Z19" s="23" t="s">
        <v>39</v>
      </c>
      <c r="AA19" s="22" t="s">
        <v>59</v>
      </c>
      <c r="AB19" s="25">
        <v>25</v>
      </c>
      <c r="AC19" s="25" t="s">
        <v>312</v>
      </c>
      <c r="AD19" s="25"/>
      <c r="AE19" s="44"/>
      <c r="AF19" s="28" t="s">
        <v>309</v>
      </c>
      <c r="AG19" s="1"/>
    </row>
    <row r="20" spans="1:121" ht="135" customHeight="1">
      <c r="A20" s="20">
        <f t="shared" si="1"/>
        <v>14</v>
      </c>
      <c r="B20" s="21">
        <v>0</v>
      </c>
      <c r="C20" s="22" t="s">
        <v>38</v>
      </c>
      <c r="D20" s="23" t="s">
        <v>39</v>
      </c>
      <c r="E20" s="22" t="s">
        <v>59</v>
      </c>
      <c r="F20" s="25">
        <v>50</v>
      </c>
      <c r="G20" s="25" t="s">
        <v>312</v>
      </c>
      <c r="H20" s="30">
        <v>2323</v>
      </c>
      <c r="I20" s="62"/>
      <c r="J20" s="28" t="s">
        <v>310</v>
      </c>
      <c r="W20" s="20">
        <f t="shared" si="0"/>
        <v>14</v>
      </c>
      <c r="X20" s="21">
        <v>0</v>
      </c>
      <c r="Y20" s="22" t="s">
        <v>45</v>
      </c>
      <c r="Z20" s="23" t="s">
        <v>39</v>
      </c>
      <c r="AA20" s="22" t="s">
        <v>59</v>
      </c>
      <c r="AB20" s="25">
        <v>25</v>
      </c>
      <c r="AC20" s="25" t="s">
        <v>312</v>
      </c>
      <c r="AD20" s="25"/>
      <c r="AE20" s="27"/>
      <c r="AF20" s="28" t="s">
        <v>311</v>
      </c>
    </row>
    <row r="21" spans="1:121" ht="135" customHeight="1"/>
    <row r="22" spans="1:121" ht="135" customHeight="1"/>
    <row r="23" spans="1:121" ht="135" customHeight="1"/>
    <row r="24" spans="1:121" ht="135" customHeight="1"/>
    <row r="25" spans="1:121" ht="135" customHeight="1"/>
    <row r="26" spans="1:121" ht="135" customHeight="1"/>
    <row r="27" spans="1:121" ht="135" customHeight="1"/>
    <row r="28" spans="1:121" ht="135" customHeight="1"/>
    <row r="29" spans="1:121" ht="135" customHeight="1"/>
    <row r="30" spans="1:121" ht="135" customHeight="1"/>
    <row r="31" spans="1:121" ht="135" customHeight="1"/>
    <row r="32" spans="1:121" ht="135" customHeight="1"/>
    <row r="33" ht="135" customHeight="1"/>
    <row r="34" ht="135" customHeight="1"/>
    <row r="35" ht="135" customHeight="1"/>
    <row r="36" ht="135" customHeight="1"/>
    <row r="37" ht="135" customHeight="1"/>
    <row r="38" ht="135" customHeight="1"/>
    <row r="39" ht="135" customHeight="1"/>
    <row r="40" ht="135" customHeight="1"/>
    <row r="41" ht="135" customHeight="1"/>
    <row r="42" ht="135" customHeight="1"/>
    <row r="43" ht="135" customHeight="1"/>
    <row r="44" ht="135" customHeight="1"/>
    <row r="45" ht="135" customHeight="1"/>
    <row r="46" ht="135" customHeight="1"/>
    <row r="47" ht="135" customHeight="1"/>
    <row r="48" ht="135" customHeight="1"/>
    <row r="49" ht="135" customHeight="1"/>
    <row r="50" ht="135" customHeight="1"/>
    <row r="51" ht="135" customHeight="1"/>
    <row r="52" ht="135" customHeight="1"/>
    <row r="53" ht="135" customHeight="1"/>
    <row r="54" ht="135" customHeight="1"/>
    <row r="55" ht="135" customHeight="1"/>
    <row r="56" ht="135" customHeight="1"/>
    <row r="57" ht="135" customHeight="1"/>
    <row r="58" ht="135" customHeight="1"/>
    <row r="59" ht="135" customHeight="1"/>
    <row r="60" ht="135" customHeight="1"/>
    <row r="61" ht="135" customHeight="1"/>
    <row r="62" ht="135" customHeight="1"/>
    <row r="63" ht="135" customHeight="1"/>
    <row r="64" ht="135" customHeight="1"/>
    <row r="65" ht="135" customHeight="1"/>
    <row r="66" ht="135" customHeight="1"/>
    <row r="67" ht="135" customHeight="1"/>
    <row r="68" ht="135" customHeight="1"/>
    <row r="69" ht="135" customHeight="1"/>
    <row r="70" ht="135" customHeight="1"/>
    <row r="71" ht="135" customHeight="1"/>
    <row r="72" ht="135" customHeight="1"/>
    <row r="73" ht="135" customHeight="1"/>
    <row r="74" ht="135" customHeight="1"/>
    <row r="75" ht="135" customHeight="1"/>
    <row r="76" ht="135" customHeight="1"/>
    <row r="77" ht="135" customHeight="1"/>
    <row r="78" ht="135" customHeight="1"/>
    <row r="79" ht="135" customHeight="1"/>
    <row r="80" ht="135" customHeight="1"/>
    <row r="81" ht="135" customHeight="1"/>
    <row r="82" ht="135" customHeight="1"/>
    <row r="83" ht="135" customHeight="1"/>
    <row r="84" ht="135" customHeight="1"/>
    <row r="85" ht="135" customHeight="1"/>
    <row r="86" ht="135" customHeight="1"/>
    <row r="87" ht="135" customHeight="1"/>
    <row r="88" ht="135" customHeight="1"/>
    <row r="89" ht="135" customHeight="1"/>
    <row r="90" ht="135" customHeight="1"/>
    <row r="91" ht="135" customHeight="1"/>
    <row r="92" ht="135" customHeight="1"/>
    <row r="93" ht="135" customHeight="1"/>
    <row r="94" ht="135" customHeight="1"/>
    <row r="95" ht="135" customHeight="1"/>
    <row r="96" ht="135" customHeight="1"/>
    <row r="97" ht="135" customHeight="1"/>
    <row r="98" ht="135" customHeight="1"/>
    <row r="99" ht="135" customHeight="1"/>
    <row r="100" ht="135" customHeight="1"/>
    <row r="101" ht="135" customHeight="1"/>
    <row r="102" ht="135" customHeight="1"/>
    <row r="103" ht="135" customHeight="1"/>
    <row r="104" ht="135" customHeight="1"/>
    <row r="105" ht="135" customHeight="1"/>
    <row r="106" ht="135" customHeight="1"/>
    <row r="107" ht="135" customHeight="1"/>
    <row r="108" ht="135" customHeight="1"/>
    <row r="109" ht="135" customHeight="1"/>
    <row r="110" ht="135" customHeight="1"/>
    <row r="111" ht="135" customHeight="1"/>
    <row r="112" ht="135" customHeight="1"/>
    <row r="113" ht="135" customHeight="1"/>
    <row r="114" ht="135" customHeight="1"/>
    <row r="115" ht="135" customHeight="1"/>
    <row r="116" ht="135" customHeight="1"/>
    <row r="117" ht="135" customHeight="1"/>
    <row r="118" ht="135" customHeight="1"/>
    <row r="119" ht="135" customHeight="1"/>
    <row r="120" ht="135" customHeight="1"/>
    <row r="121" ht="135" customHeight="1"/>
    <row r="122" ht="135" customHeight="1"/>
    <row r="123" ht="135" customHeight="1"/>
    <row r="124" ht="135" customHeight="1"/>
    <row r="125" ht="135" customHeight="1"/>
    <row r="126" ht="135" customHeight="1"/>
    <row r="127" ht="135" customHeight="1"/>
    <row r="128" ht="135" customHeight="1"/>
    <row r="129" ht="135" customHeight="1"/>
    <row r="130" ht="135" customHeight="1"/>
    <row r="131" ht="135" customHeight="1"/>
    <row r="132" ht="135" customHeight="1"/>
    <row r="133" ht="135" customHeight="1"/>
    <row r="134" ht="135" customHeight="1"/>
    <row r="135" ht="135" customHeight="1"/>
    <row r="136" ht="135" customHeight="1"/>
    <row r="137" ht="135" customHeight="1"/>
    <row r="138" ht="135" customHeight="1"/>
    <row r="139" ht="135" customHeight="1"/>
    <row r="140" ht="135" customHeight="1"/>
    <row r="141" ht="135" customHeight="1"/>
    <row r="142" ht="135" customHeight="1"/>
    <row r="143" ht="135" customHeight="1"/>
    <row r="144" ht="135" customHeight="1"/>
    <row r="145" ht="135" customHeight="1"/>
    <row r="146" ht="135" customHeight="1"/>
    <row r="147" ht="135" customHeight="1"/>
    <row r="148" ht="135" customHeight="1"/>
    <row r="149" ht="135" customHeight="1"/>
    <row r="150" ht="135" customHeight="1"/>
    <row r="151" ht="135" customHeight="1"/>
    <row r="152" ht="135" customHeight="1"/>
    <row r="153" ht="135" customHeight="1"/>
    <row r="154" ht="135" customHeight="1"/>
    <row r="155" ht="135" customHeight="1"/>
    <row r="156" ht="135" customHeight="1"/>
    <row r="157" ht="135" customHeight="1"/>
    <row r="158" ht="135" customHeight="1"/>
    <row r="159" ht="135" customHeight="1"/>
    <row r="160" ht="135" customHeight="1"/>
    <row r="161" ht="135" customHeight="1"/>
    <row r="162" ht="135" customHeight="1"/>
    <row r="163" ht="135" customHeight="1"/>
    <row r="164" ht="135" customHeight="1"/>
    <row r="165" ht="135" customHeight="1"/>
    <row r="166" ht="135" customHeight="1"/>
    <row r="167" ht="135" customHeight="1"/>
    <row r="168" ht="135" customHeight="1"/>
    <row r="169" ht="135" customHeight="1"/>
    <row r="170" ht="135" customHeight="1"/>
    <row r="171" ht="135" customHeight="1"/>
    <row r="172" ht="135" customHeight="1"/>
    <row r="173" ht="135" customHeight="1"/>
    <row r="174" ht="135" customHeight="1"/>
    <row r="175" ht="135" customHeight="1"/>
    <row r="176" ht="135" customHeight="1"/>
    <row r="177" ht="135" customHeight="1"/>
    <row r="178" ht="135" customHeight="1"/>
    <row r="179" ht="135" customHeight="1"/>
    <row r="180" ht="135" customHeight="1"/>
    <row r="181" ht="135" customHeight="1"/>
    <row r="182" ht="135" customHeight="1"/>
    <row r="183" ht="135" customHeight="1"/>
    <row r="184" ht="135" customHeight="1"/>
    <row r="185" ht="135" customHeight="1"/>
    <row r="186" ht="135" customHeight="1"/>
    <row r="187" ht="135" customHeight="1"/>
    <row r="188" ht="135" customHeight="1"/>
    <row r="189" ht="135" customHeight="1"/>
    <row r="190" ht="135" customHeight="1"/>
    <row r="191" ht="135" customHeight="1"/>
    <row r="192" ht="135" customHeight="1"/>
    <row r="193" ht="135" customHeight="1"/>
  </sheetData>
  <mergeCells count="40">
    <mergeCell ref="A1:B2"/>
    <mergeCell ref="C1:F1"/>
    <mergeCell ref="G1:H1"/>
    <mergeCell ref="I1:J1"/>
    <mergeCell ref="L1:U3"/>
    <mergeCell ref="BD4:BM4"/>
    <mergeCell ref="CV1:DE3"/>
    <mergeCell ref="DG1:DP3"/>
    <mergeCell ref="C2:F2"/>
    <mergeCell ref="G2:H2"/>
    <mergeCell ref="I2:J2"/>
    <mergeCell ref="G3:J3"/>
    <mergeCell ref="AH1:AQ3"/>
    <mergeCell ref="AS1:BB3"/>
    <mergeCell ref="BD1:BM3"/>
    <mergeCell ref="BO1:BX3"/>
    <mergeCell ref="BZ1:CI3"/>
    <mergeCell ref="CK1:CT3"/>
    <mergeCell ref="W1:AF3"/>
    <mergeCell ref="A4:J4"/>
    <mergeCell ref="L4:U4"/>
    <mergeCell ref="W4:AF4"/>
    <mergeCell ref="AH4:AQ4"/>
    <mergeCell ref="AS4:BB4"/>
    <mergeCell ref="E5:E6"/>
    <mergeCell ref="P5:P6"/>
    <mergeCell ref="AA5:AA6"/>
    <mergeCell ref="AL5:AL6"/>
    <mergeCell ref="AW5:AW6"/>
    <mergeCell ref="DK5:DK6"/>
    <mergeCell ref="BO4:BX4"/>
    <mergeCell ref="BZ4:CI4"/>
    <mergeCell ref="CK4:CT4"/>
    <mergeCell ref="CV4:DE4"/>
    <mergeCell ref="DG4:DP4"/>
    <mergeCell ref="BH5:BH6"/>
    <mergeCell ref="BS5:BS6"/>
    <mergeCell ref="CD5:CD6"/>
    <mergeCell ref="CO5:CO6"/>
    <mergeCell ref="CZ5:CZ6"/>
  </mergeCells>
  <conditionalFormatting sqref="A4">
    <cfRule type="containsText" dxfId="37" priority="24" operator="containsText" text="Complete Set">
      <formula>NOT(ISERROR(SEARCH("Complete Set",A4)))</formula>
    </cfRule>
  </conditionalFormatting>
  <conditionalFormatting sqref="A5">
    <cfRule type="colorScale" priority="26">
      <colorScale>
        <cfvo type="num" val="0"/>
        <cfvo type="num" val="500"/>
        <color rgb="FFFFFF00"/>
        <color rgb="FFFFFF00"/>
      </colorScale>
    </cfRule>
  </conditionalFormatting>
  <conditionalFormatting sqref="B7:H20">
    <cfRule type="cellIs" dxfId="36" priority="22" operator="equal">
      <formula>1</formula>
    </cfRule>
  </conditionalFormatting>
  <conditionalFormatting sqref="C2">
    <cfRule type="cellIs" dxfId="35" priority="29" operator="equal">
      <formula>0</formula>
    </cfRule>
  </conditionalFormatting>
  <conditionalFormatting sqref="C7:C20">
    <cfRule type="cellIs" dxfId="34" priority="23" operator="equal">
      <formula>"Hard Case"</formula>
    </cfRule>
  </conditionalFormatting>
  <conditionalFormatting sqref="G1:G2">
    <cfRule type="cellIs" dxfId="33" priority="1" operator="equal">
      <formula>0</formula>
    </cfRule>
  </conditionalFormatting>
  <conditionalFormatting sqref="I1:I2">
    <cfRule type="cellIs" dxfId="32" priority="25" operator="equal">
      <formula>0</formula>
    </cfRule>
  </conditionalFormatting>
  <conditionalFormatting sqref="L4 W4 AH4 AS4 BD4 BO4 BZ4 CK4 CV4 DG4">
    <cfRule type="containsText" dxfId="31" priority="27" operator="containsText" text="Complete Set">
      <formula>NOT(ISERROR(SEARCH("Complete Set",L4)))</formula>
    </cfRule>
  </conditionalFormatting>
  <conditionalFormatting sqref="L1:P3">
    <cfRule type="containsText" dxfId="30" priority="30" operator="containsText" text="Complete Set">
      <formula>NOT(ISERROR(SEARCH("Complete Set",L1)))</formula>
    </cfRule>
  </conditionalFormatting>
  <conditionalFormatting sqref="M7:S8">
    <cfRule type="cellIs" dxfId="29" priority="20" operator="equal">
      <formula>1</formula>
    </cfRule>
  </conditionalFormatting>
  <conditionalFormatting sqref="N7:N8">
    <cfRule type="cellIs" dxfId="28" priority="21" operator="equal">
      <formula>"Hard Case"</formula>
    </cfRule>
  </conditionalFormatting>
  <conditionalFormatting sqref="T1:U3">
    <cfRule type="containsText" dxfId="27" priority="31" operator="containsText" text="Complete Set">
      <formula>NOT(ISERROR(SEARCH("Complete Set",T1)))</formula>
    </cfRule>
  </conditionalFormatting>
  <conditionalFormatting sqref="W5 L5 AH5 AS5 BD5 BO5 BZ5 CK5 CV5 DG5">
    <cfRule type="colorScale" priority="28">
      <colorScale>
        <cfvo type="num" val="0"/>
        <cfvo type="num" val="500"/>
        <color rgb="FFFFFF00"/>
        <color rgb="FFFFFF00"/>
      </colorScale>
    </cfRule>
  </conditionalFormatting>
  <conditionalFormatting sqref="W1:AA3">
    <cfRule type="containsText" dxfId="26" priority="34" operator="containsText" text="Complete Set">
      <formula>NOT(ISERROR(SEARCH("Complete Set",W1)))</formula>
    </cfRule>
  </conditionalFormatting>
  <conditionalFormatting sqref="X7:AD20">
    <cfRule type="cellIs" dxfId="25" priority="17" operator="equal">
      <formula>1</formula>
    </cfRule>
  </conditionalFormatting>
  <conditionalFormatting sqref="Y7:Y20">
    <cfRule type="cellIs" dxfId="24" priority="19" operator="equal">
      <formula>"Hard Case"</formula>
    </cfRule>
  </conditionalFormatting>
  <conditionalFormatting sqref="AE1:AF3">
    <cfRule type="containsText" dxfId="23" priority="35" operator="containsText" text="Complete Set">
      <formula>NOT(ISERROR(SEARCH("Complete Set",AE1)))</formula>
    </cfRule>
  </conditionalFormatting>
  <conditionalFormatting sqref="AH1:AL3">
    <cfRule type="containsText" dxfId="22" priority="32" operator="containsText" text="Complete Set">
      <formula>NOT(ISERROR(SEARCH("Complete Set",AH1)))</formula>
    </cfRule>
  </conditionalFormatting>
  <conditionalFormatting sqref="AI7:AO10">
    <cfRule type="cellIs" dxfId="21" priority="16" operator="equal">
      <formula>1</formula>
    </cfRule>
  </conditionalFormatting>
  <conditionalFormatting sqref="AJ7:AJ10">
    <cfRule type="cellIs" dxfId="20" priority="18" operator="equal">
      <formula>"Hard Case"</formula>
    </cfRule>
  </conditionalFormatting>
  <conditionalFormatting sqref="AP1:AQ3">
    <cfRule type="containsText" dxfId="19" priority="33" operator="containsText" text="Complete Set">
      <formula>NOT(ISERROR(SEARCH("Complete Set",AP1)))</formula>
    </cfRule>
  </conditionalFormatting>
  <conditionalFormatting sqref="AS1:AW3 BD1:BH3 BO1:BS3 BZ1:CD3 CK1:CO3 CV1:CZ3 DG1:DK3 DR1:DU4 DZ1:EC4 EH1:EK4 EP1:ES4">
    <cfRule type="containsText" dxfId="18" priority="40" operator="containsText" text="Complete Set">
      <formula>NOT(ISERROR(SEARCH("Complete Set",AS1)))</formula>
    </cfRule>
  </conditionalFormatting>
  <conditionalFormatting sqref="AT7:AZ12">
    <cfRule type="cellIs" dxfId="17" priority="13" operator="equal">
      <formula>1</formula>
    </cfRule>
  </conditionalFormatting>
  <conditionalFormatting sqref="AU7:AU12">
    <cfRule type="cellIs" dxfId="16" priority="15" operator="equal">
      <formula>"Hard Case"</formula>
    </cfRule>
  </conditionalFormatting>
  <conditionalFormatting sqref="BA1:BB3 BL1:BM3 BW1:BX3 CH1:CI3 CS1:CT3 DD1:DE3 DO1:DP3 DW1:DX4 EE1:EF4 EM1:EN4 EU1:EV4 FC1:FD4 FK1:FL4 FS1:FT4 GA1:GB4 GI1:GJ4 GQ1:GR4 GY1:GZ4 HG1:HH4 HO1:HP4 HW1:HX4 IE1:IF4 IK1:IL4 IW1:IX4">
    <cfRule type="containsText" dxfId="15" priority="45" operator="containsText" text="Complete Set">
      <formula>NOT(ISERROR(SEARCH("Complete Set",BA1)))</formula>
    </cfRule>
  </conditionalFormatting>
  <conditionalFormatting sqref="BE7:BK8">
    <cfRule type="cellIs" dxfId="14" priority="12" operator="equal">
      <formula>1</formula>
    </cfRule>
  </conditionalFormatting>
  <conditionalFormatting sqref="BF7:BF8">
    <cfRule type="cellIs" dxfId="13" priority="14" operator="equal">
      <formula>"Hard Case"</formula>
    </cfRule>
  </conditionalFormatting>
  <conditionalFormatting sqref="BP7:BV9">
    <cfRule type="cellIs" dxfId="12" priority="8" operator="equal">
      <formula>1</formula>
    </cfRule>
  </conditionalFormatting>
  <conditionalFormatting sqref="BQ7:BQ9">
    <cfRule type="cellIs" dxfId="11" priority="11" operator="equal">
      <formula>"Hard Case"</formula>
    </cfRule>
  </conditionalFormatting>
  <conditionalFormatting sqref="CA7:CG10">
    <cfRule type="cellIs" dxfId="10" priority="7" operator="equal">
      <formula>1</formula>
    </cfRule>
  </conditionalFormatting>
  <conditionalFormatting sqref="CB7:CB10">
    <cfRule type="cellIs" dxfId="9" priority="10" operator="equal">
      <formula>"Hard Case"</formula>
    </cfRule>
  </conditionalFormatting>
  <conditionalFormatting sqref="CL7:CR11">
    <cfRule type="cellIs" dxfId="8" priority="6" operator="equal">
      <formula>1</formula>
    </cfRule>
  </conditionalFormatting>
  <conditionalFormatting sqref="CM7:CM11">
    <cfRule type="cellIs" dxfId="7" priority="9" operator="equal">
      <formula>"Hard Case"</formula>
    </cfRule>
  </conditionalFormatting>
  <conditionalFormatting sqref="CW7:DC8">
    <cfRule type="cellIs" dxfId="6" priority="3" operator="equal">
      <formula>1</formula>
    </cfRule>
  </conditionalFormatting>
  <conditionalFormatting sqref="CX7:CX8">
    <cfRule type="cellIs" dxfId="5" priority="5" operator="equal">
      <formula>"Hard Case"</formula>
    </cfRule>
  </conditionalFormatting>
  <conditionalFormatting sqref="DH7:DN9">
    <cfRule type="cellIs" dxfId="4" priority="2" operator="equal">
      <formula>1</formula>
    </cfRule>
  </conditionalFormatting>
  <conditionalFormatting sqref="DI7:DI9">
    <cfRule type="cellIs" dxfId="3" priority="4" operator="equal">
      <formula>"Hard Case"</formula>
    </cfRule>
  </conditionalFormatting>
  <conditionalFormatting sqref="DR5">
    <cfRule type="colorScale" priority="36">
      <colorScale>
        <cfvo type="num" val="0"/>
        <cfvo type="num" val="500"/>
        <color rgb="FFFFFF00"/>
        <color rgb="FFFFFF00"/>
      </colorScale>
    </cfRule>
  </conditionalFormatting>
  <conditionalFormatting sqref="DZ5">
    <cfRule type="colorScale" priority="37">
      <colorScale>
        <cfvo type="num" val="0"/>
        <cfvo type="num" val="500"/>
        <color rgb="FFFFFF00"/>
        <color rgb="FFFFFF00"/>
      </colorScale>
    </cfRule>
  </conditionalFormatting>
  <conditionalFormatting sqref="EH5">
    <cfRule type="colorScale" priority="38">
      <colorScale>
        <cfvo type="num" val="0"/>
        <cfvo type="num" val="500"/>
        <color rgb="FFFFFF00"/>
        <color rgb="FFFFFF00"/>
      </colorScale>
    </cfRule>
  </conditionalFormatting>
  <conditionalFormatting sqref="EP5">
    <cfRule type="colorScale" priority="39">
      <colorScale>
        <cfvo type="num" val="0"/>
        <cfvo type="num" val="500"/>
        <color rgb="FFFFFF00"/>
        <color rgb="FFFFFF00"/>
      </colorScale>
    </cfRule>
  </conditionalFormatting>
  <conditionalFormatting sqref="EX1:FA4 FF1:FI4 FN1:FQ4 FV1:FY4 GD1:GG4 GL1:GO4 GT1:GW4 HB1:HE4 HJ1:HM4 HR1:HU4 HZ1:IC4 IH1:II4 IT1:IU4">
    <cfRule type="containsText" dxfId="2" priority="44" operator="containsText" text="Complete Set">
      <formula>NOT(ISERROR(SEARCH("Complete Set",EX1)))</formula>
    </cfRule>
  </conditionalFormatting>
  <conditionalFormatting sqref="IN5 IH5 IT5 HZ5 HR5 HJ5 HB5 GT5 GL5 GD5 FV5 FN5 FF5 EX5">
    <cfRule type="colorScale" priority="43">
      <colorScale>
        <cfvo type="num" val="0"/>
        <cfvo type="num" val="500"/>
        <color rgb="FFFFFF00"/>
        <color rgb="FFFFFF00"/>
      </colorScale>
    </cfRule>
  </conditionalFormatting>
  <conditionalFormatting sqref="IN1:IO4">
    <cfRule type="containsText" dxfId="1" priority="41" operator="containsText" text="Complete Set">
      <formula>NOT(ISERROR(SEARCH("Complete Set",IN1)))</formula>
    </cfRule>
  </conditionalFormatting>
  <conditionalFormatting sqref="IQ1:IR4">
    <cfRule type="containsText" dxfId="0" priority="42" operator="containsText" text="Complete Set">
      <formula>NOT(ISERROR(SEARCH("Complete Set",IQ1)))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76293C-2DC0-441D-B994-1B866EE9F51E}">
          <x14:formula1>
            <xm:f>DropDown!$B$2:$B$65</xm:f>
          </x14:formula1>
          <xm:sqref>DB7:DB8 G7:G20 R7:R8 AC7:AC20 AN7:AN10 BJ7:BJ8 CF7:CF10 CQ7:CQ11 AY7:AY12 BU7:BU9 DM7:DM9</xm:sqref>
        </x14:dataValidation>
        <x14:dataValidation type="list" allowBlank="1" showInputMessage="1" showErrorMessage="1" xr:uid="{AF5520FC-085E-46CD-9BCC-5ACBB39AA0F7}">
          <x14:formula1>
            <xm:f>DropDown!$E$3:$E$4</xm:f>
          </x14:formula1>
          <xm:sqref>C7:C20 N7:N8 Y7:Y20 AJ7:AJ10 AU7:AU12 BF7:BF8 BQ7:BQ9 CB7:CB10 CM7:CM11 CX7:CX8 DI7:DI9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9139-BFF9-4157-BD57-2B91A3215719}">
  <sheetPr>
    <tabColor theme="1"/>
  </sheetPr>
  <dimension ref="B2:H65"/>
  <sheetViews>
    <sheetView workbookViewId="0">
      <selection activeCell="H15" sqref="H15"/>
    </sheetView>
  </sheetViews>
  <sheetFormatPr baseColWidth="10" defaultColWidth="8.83203125" defaultRowHeight="15"/>
  <cols>
    <col min="2" max="2" width="22.5" style="66" customWidth="1"/>
    <col min="5" max="5" width="22.5" bestFit="1" customWidth="1"/>
    <col min="8" max="8" width="22.5" bestFit="1" customWidth="1"/>
  </cols>
  <sheetData>
    <row r="2" spans="2:8" ht="23">
      <c r="B2" s="64" t="s">
        <v>40</v>
      </c>
    </row>
    <row r="3" spans="2:8" ht="24">
      <c r="B3" s="65" t="s">
        <v>312</v>
      </c>
      <c r="E3" s="65" t="s">
        <v>45</v>
      </c>
      <c r="H3" s="65" t="s">
        <v>313</v>
      </c>
    </row>
    <row r="4" spans="2:8" ht="24">
      <c r="B4" s="65" t="s">
        <v>314</v>
      </c>
      <c r="E4" s="65" t="s">
        <v>38</v>
      </c>
      <c r="H4" s="65" t="s">
        <v>315</v>
      </c>
    </row>
    <row r="5" spans="2:8" ht="24">
      <c r="B5" s="65" t="s">
        <v>316</v>
      </c>
      <c r="H5" s="65" t="s">
        <v>317</v>
      </c>
    </row>
    <row r="6" spans="2:8" ht="24">
      <c r="B6" s="65" t="s">
        <v>318</v>
      </c>
      <c r="H6" s="65" t="s">
        <v>319</v>
      </c>
    </row>
    <row r="7" spans="2:8" ht="24">
      <c r="B7" s="65" t="s">
        <v>320</v>
      </c>
      <c r="H7" s="65" t="s">
        <v>321</v>
      </c>
    </row>
    <row r="8" spans="2:8" ht="24">
      <c r="B8" s="65" t="s">
        <v>322</v>
      </c>
      <c r="H8" s="65" t="s">
        <v>323</v>
      </c>
    </row>
    <row r="9" spans="2:8" ht="24">
      <c r="B9" s="65" t="s">
        <v>56</v>
      </c>
      <c r="H9" s="65" t="s">
        <v>324</v>
      </c>
    </row>
    <row r="10" spans="2:8" ht="24">
      <c r="B10" s="65" t="s">
        <v>325</v>
      </c>
      <c r="H10" s="65"/>
    </row>
    <row r="11" spans="2:8" ht="24">
      <c r="B11" s="65" t="s">
        <v>326</v>
      </c>
      <c r="H11" s="65"/>
    </row>
    <row r="12" spans="2:8" ht="24">
      <c r="B12" s="65" t="s">
        <v>327</v>
      </c>
      <c r="H12" s="65"/>
    </row>
    <row r="13" spans="2:8" ht="24">
      <c r="B13" s="65" t="s">
        <v>328</v>
      </c>
      <c r="H13" s="65"/>
    </row>
    <row r="14" spans="2:8" ht="24">
      <c r="B14" s="65" t="s">
        <v>329</v>
      </c>
      <c r="H14" s="65"/>
    </row>
    <row r="15" spans="2:8" ht="24">
      <c r="B15" s="65" t="s">
        <v>330</v>
      </c>
    </row>
    <row r="16" spans="2:8" ht="24">
      <c r="B16" s="65" t="s">
        <v>43</v>
      </c>
    </row>
    <row r="17" spans="2:2" ht="24">
      <c r="B17" s="65" t="s">
        <v>331</v>
      </c>
    </row>
    <row r="18" spans="2:2" ht="24">
      <c r="B18" s="65" t="s">
        <v>332</v>
      </c>
    </row>
    <row r="19" spans="2:2" ht="24">
      <c r="B19" s="65" t="s">
        <v>333</v>
      </c>
    </row>
    <row r="20" spans="2:2" ht="24">
      <c r="B20" s="65" t="s">
        <v>334</v>
      </c>
    </row>
    <row r="21" spans="2:2" ht="24">
      <c r="B21" s="65" t="s">
        <v>335</v>
      </c>
    </row>
    <row r="22" spans="2:2" ht="24">
      <c r="B22" s="65" t="s">
        <v>163</v>
      </c>
    </row>
    <row r="23" spans="2:2" ht="24">
      <c r="B23" s="65" t="s">
        <v>116</v>
      </c>
    </row>
    <row r="24" spans="2:2" ht="24">
      <c r="B24" s="65" t="s">
        <v>60</v>
      </c>
    </row>
    <row r="25" spans="2:2" ht="24">
      <c r="B25" s="65" t="s">
        <v>69</v>
      </c>
    </row>
    <row r="26" spans="2:2" ht="24">
      <c r="B26" s="65" t="s">
        <v>336</v>
      </c>
    </row>
    <row r="27" spans="2:2" ht="24">
      <c r="B27" s="65" t="s">
        <v>337</v>
      </c>
    </row>
    <row r="28" spans="2:2" ht="24">
      <c r="B28" s="65" t="s">
        <v>338</v>
      </c>
    </row>
    <row r="29" spans="2:2" ht="24">
      <c r="B29" s="65" t="s">
        <v>339</v>
      </c>
    </row>
    <row r="30" spans="2:2" ht="24">
      <c r="B30" s="65" t="s">
        <v>340</v>
      </c>
    </row>
    <row r="31" spans="2:2" ht="24">
      <c r="B31" s="65" t="s">
        <v>341</v>
      </c>
    </row>
    <row r="32" spans="2:2" ht="24">
      <c r="B32" s="65" t="s">
        <v>342</v>
      </c>
    </row>
    <row r="33" spans="2:2" ht="24">
      <c r="B33" s="65" t="s">
        <v>343</v>
      </c>
    </row>
    <row r="34" spans="2:2" ht="24">
      <c r="B34" s="65" t="s">
        <v>344</v>
      </c>
    </row>
    <row r="35" spans="2:2" ht="24">
      <c r="B35" s="65" t="s">
        <v>345</v>
      </c>
    </row>
    <row r="36" spans="2:2" ht="24">
      <c r="B36" s="65" t="s">
        <v>346</v>
      </c>
    </row>
    <row r="37" spans="2:2" ht="24">
      <c r="B37" s="65" t="s">
        <v>347</v>
      </c>
    </row>
    <row r="38" spans="2:2" ht="24">
      <c r="B38" s="65" t="s">
        <v>348</v>
      </c>
    </row>
    <row r="39" spans="2:2" ht="24">
      <c r="B39" s="65" t="s">
        <v>349</v>
      </c>
    </row>
    <row r="40" spans="2:2" ht="24">
      <c r="B40" s="65" t="s">
        <v>350</v>
      </c>
    </row>
    <row r="41" spans="2:2" ht="24">
      <c r="B41" s="65" t="s">
        <v>351</v>
      </c>
    </row>
    <row r="42" spans="2:2" ht="24">
      <c r="B42" s="65" t="s">
        <v>352</v>
      </c>
    </row>
    <row r="43" spans="2:2" ht="24">
      <c r="B43" s="65" t="s">
        <v>353</v>
      </c>
    </row>
    <row r="44" spans="2:2" ht="24">
      <c r="B44" s="65" t="s">
        <v>354</v>
      </c>
    </row>
    <row r="45" spans="2:2" ht="24">
      <c r="B45" s="65" t="s">
        <v>355</v>
      </c>
    </row>
    <row r="46" spans="2:2" ht="24">
      <c r="B46" s="65" t="s">
        <v>356</v>
      </c>
    </row>
    <row r="47" spans="2:2" ht="24">
      <c r="B47" s="65" t="s">
        <v>357</v>
      </c>
    </row>
    <row r="48" spans="2:2" ht="24">
      <c r="B48" s="65" t="s">
        <v>358</v>
      </c>
    </row>
    <row r="49" spans="2:2" ht="24">
      <c r="B49" s="65" t="s">
        <v>359</v>
      </c>
    </row>
    <row r="50" spans="2:2" ht="24">
      <c r="B50" s="65" t="s">
        <v>360</v>
      </c>
    </row>
    <row r="51" spans="2:2" ht="24">
      <c r="B51" s="65" t="s">
        <v>361</v>
      </c>
    </row>
    <row r="52" spans="2:2" ht="24">
      <c r="B52" s="65" t="s">
        <v>362</v>
      </c>
    </row>
    <row r="53" spans="2:2" ht="24">
      <c r="B53" s="65" t="s">
        <v>363</v>
      </c>
    </row>
    <row r="54" spans="2:2" ht="24">
      <c r="B54" s="65" t="s">
        <v>364</v>
      </c>
    </row>
    <row r="55" spans="2:2" ht="24">
      <c r="B55" s="65" t="s">
        <v>365</v>
      </c>
    </row>
    <row r="56" spans="2:2" ht="24">
      <c r="B56" s="65" t="s">
        <v>366</v>
      </c>
    </row>
    <row r="57" spans="2:2" ht="24">
      <c r="B57" s="65" t="s">
        <v>367</v>
      </c>
    </row>
    <row r="58" spans="2:2" ht="24">
      <c r="B58" s="65" t="s">
        <v>368</v>
      </c>
    </row>
    <row r="59" spans="2:2" ht="24">
      <c r="B59" s="65" t="s">
        <v>369</v>
      </c>
    </row>
    <row r="60" spans="2:2" ht="24">
      <c r="B60" s="65" t="s">
        <v>370</v>
      </c>
    </row>
    <row r="61" spans="2:2" ht="24">
      <c r="B61" s="65" t="s">
        <v>371</v>
      </c>
    </row>
    <row r="62" spans="2:2" ht="24">
      <c r="B62" s="65" t="s">
        <v>372</v>
      </c>
    </row>
    <row r="63" spans="2:2" ht="24">
      <c r="B63" s="65" t="s">
        <v>373</v>
      </c>
    </row>
    <row r="64" spans="2:2" ht="24">
      <c r="B64" s="65" t="s">
        <v>374</v>
      </c>
    </row>
    <row r="65" spans="2:2" ht="24">
      <c r="B65" s="65" t="s">
        <v>375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d3885c-1f56-40e3-8399-6e8073bd5146}" enabled="1" method="Privileged" siteId="{ea80952e-a476-42d4-aaf4-5457852b0f7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Fleer</vt:lpstr>
      <vt:lpstr>Fleer 23kt Gold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Schleder, Duane</dc:creator>
  <cp:lastModifiedBy>Schleder, Duane</cp:lastModifiedBy>
  <dcterms:created xsi:type="dcterms:W3CDTF">2025-04-17T16:55:57Z</dcterms:created>
  <dcterms:modified xsi:type="dcterms:W3CDTF">2025-04-17T18:23:24Z</dcterms:modified>
</cp:coreProperties>
</file>