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schleders/Desktop/"/>
    </mc:Choice>
  </mc:AlternateContent>
  <xr:revisionPtr revIDLastSave="0" documentId="8_{39679E3E-0DAD-D04B-8A4B-AE7F4D352A86}" xr6:coauthVersionLast="47" xr6:coauthVersionMax="47" xr10:uidLastSave="{00000000-0000-0000-0000-000000000000}"/>
  <bookViews>
    <workbookView xWindow="0" yWindow="500" windowWidth="19420" windowHeight="11500" xr2:uid="{9AE535FE-2CEB-44F6-8571-9FE0BB27FD47}"/>
  </bookViews>
  <sheets>
    <sheet name="Topps" sheetId="1" r:id="rId1"/>
    <sheet name="DropDown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9" i="1" l="1"/>
  <c r="BH10" i="1"/>
  <c r="BH11" i="1" s="1"/>
  <c r="BH12" i="1" s="1"/>
  <c r="BH13" i="1" s="1"/>
  <c r="BH14" i="1" s="1"/>
  <c r="BH15" i="1" s="1"/>
  <c r="BH16" i="1" s="1"/>
  <c r="BH17" i="1" s="1"/>
  <c r="BH18" i="1" s="1"/>
  <c r="BH19" i="1" s="1"/>
  <c r="BH20" i="1" s="1"/>
  <c r="BH21" i="1" s="1"/>
  <c r="BH22" i="1" s="1"/>
  <c r="BH23" i="1" s="1"/>
  <c r="BH8" i="1"/>
  <c r="JK29" i="1"/>
  <c r="HC29" i="1"/>
  <c r="HC28" i="1"/>
  <c r="JK27" i="1"/>
  <c r="HC27" i="1"/>
  <c r="JK25" i="1"/>
  <c r="HC24" i="1"/>
  <c r="FS24" i="1"/>
  <c r="JK23" i="1"/>
  <c r="GE23" i="1"/>
  <c r="JK22" i="1"/>
  <c r="GE22" i="1"/>
  <c r="FS22" i="1"/>
  <c r="JK21" i="1"/>
  <c r="HC21" i="1"/>
  <c r="GE21" i="1"/>
  <c r="FS21" i="1"/>
  <c r="JW20" i="1"/>
  <c r="IM20" i="1"/>
  <c r="GE20" i="1"/>
  <c r="FS20" i="1"/>
  <c r="JW19" i="1"/>
  <c r="JK19" i="1"/>
  <c r="IM19" i="1"/>
  <c r="HC19" i="1"/>
  <c r="GE19" i="1"/>
  <c r="FS19" i="1"/>
  <c r="BO20" i="1"/>
  <c r="KI18" i="1"/>
  <c r="JK18" i="1"/>
  <c r="IM18" i="1"/>
  <c r="IA18" i="1"/>
  <c r="GE18" i="1"/>
  <c r="KI17" i="1"/>
  <c r="JK17" i="1"/>
  <c r="IM17" i="1"/>
  <c r="IA17" i="1"/>
  <c r="HC17" i="1"/>
  <c r="GE17" i="1"/>
  <c r="EI17" i="1"/>
  <c r="BO18" i="1"/>
  <c r="JW16" i="1"/>
  <c r="IM16" i="1"/>
  <c r="IA16" i="1"/>
  <c r="FS16" i="1"/>
  <c r="DW16" i="1"/>
  <c r="BC16" i="1"/>
  <c r="KI15" i="1"/>
  <c r="JX15" i="1"/>
  <c r="JW15" i="1"/>
  <c r="JK15" i="1"/>
  <c r="IM15" i="1"/>
  <c r="IA15" i="1"/>
  <c r="HC15" i="1"/>
  <c r="FS15" i="1"/>
  <c r="EU15" i="1"/>
  <c r="EI15" i="1"/>
  <c r="DW15" i="1"/>
  <c r="AE15" i="1"/>
  <c r="KI14" i="1"/>
  <c r="JW14" i="1"/>
  <c r="JK14" i="1"/>
  <c r="IY14" i="1"/>
  <c r="IM14" i="1"/>
  <c r="IA14" i="1"/>
  <c r="FS14" i="1"/>
  <c r="EU14" i="1"/>
  <c r="DW14" i="1"/>
  <c r="BC14" i="1"/>
  <c r="AE14" i="1"/>
  <c r="JW13" i="1"/>
  <c r="JK13" i="1"/>
  <c r="IY13" i="1"/>
  <c r="IM13" i="1"/>
  <c r="IA13" i="1"/>
  <c r="HC13" i="1"/>
  <c r="GQ13" i="1"/>
  <c r="GE13" i="1"/>
  <c r="EI13" i="1"/>
  <c r="DW13" i="1"/>
  <c r="BO10" i="1"/>
  <c r="KI12" i="1"/>
  <c r="JW12" i="1"/>
  <c r="IY12" i="1"/>
  <c r="IM12" i="1"/>
  <c r="IA12" i="1"/>
  <c r="HO12" i="1"/>
  <c r="HC12" i="1"/>
  <c r="GQ12" i="1"/>
  <c r="GE12" i="1"/>
  <c r="DW12" i="1"/>
  <c r="BC12" i="1"/>
  <c r="AE12" i="1"/>
  <c r="KI11" i="1"/>
  <c r="JW11" i="1"/>
  <c r="IY11" i="1"/>
  <c r="IA11" i="1"/>
  <c r="HO11" i="1"/>
  <c r="HC11" i="1"/>
  <c r="GQ11" i="1"/>
  <c r="GE11" i="1"/>
  <c r="FS11" i="1"/>
  <c r="EU11" i="1"/>
  <c r="EI11" i="1"/>
  <c r="EB11" i="1"/>
  <c r="EB12" i="1" s="1"/>
  <c r="EB13" i="1" s="1"/>
  <c r="EB14" i="1" s="1"/>
  <c r="EB15" i="1" s="1"/>
  <c r="EB16" i="1" s="1"/>
  <c r="EB17" i="1" s="1"/>
  <c r="EB18" i="1" s="1"/>
  <c r="EB19" i="1" s="1"/>
  <c r="DP11" i="1"/>
  <c r="DP12" i="1" s="1"/>
  <c r="DP13" i="1" s="1"/>
  <c r="DP14" i="1" s="1"/>
  <c r="DP15" i="1" s="1"/>
  <c r="DP16" i="1" s="1"/>
  <c r="DP17" i="1" s="1"/>
  <c r="DP18" i="1" s="1"/>
  <c r="AQ11" i="1"/>
  <c r="JW10" i="1"/>
  <c r="JK10" i="1"/>
  <c r="IY10" i="1"/>
  <c r="IA10" i="1"/>
  <c r="HO10" i="1"/>
  <c r="GQ10" i="1"/>
  <c r="GE10" i="1"/>
  <c r="FS10" i="1"/>
  <c r="EU10" i="1"/>
  <c r="EB10" i="1"/>
  <c r="DW10" i="1"/>
  <c r="DP10" i="1"/>
  <c r="BC10" i="1"/>
  <c r="AE10" i="1"/>
  <c r="KI9" i="1"/>
  <c r="KB9" i="1"/>
  <c r="KB10" i="1" s="1"/>
  <c r="KB11" i="1" s="1"/>
  <c r="KB12" i="1" s="1"/>
  <c r="KB13" i="1" s="1"/>
  <c r="KB14" i="1" s="1"/>
  <c r="KB15" i="1" s="1"/>
  <c r="KB16" i="1" s="1"/>
  <c r="KB17" i="1" s="1"/>
  <c r="KB18" i="1" s="1"/>
  <c r="JK9" i="1"/>
  <c r="IM9" i="1"/>
  <c r="IA9" i="1"/>
  <c r="HO9" i="1"/>
  <c r="HH9" i="1"/>
  <c r="HH10" i="1" s="1"/>
  <c r="HH11" i="1" s="1"/>
  <c r="HH12" i="1" s="1"/>
  <c r="HC9" i="1"/>
  <c r="GV9" i="1"/>
  <c r="GV10" i="1" s="1"/>
  <c r="GV11" i="1" s="1"/>
  <c r="GV12" i="1" s="1"/>
  <c r="GV13" i="1" s="1"/>
  <c r="GV14" i="1" s="1"/>
  <c r="GV15" i="1" s="1"/>
  <c r="GV16" i="1" s="1"/>
  <c r="GV17" i="1" s="1"/>
  <c r="GV18" i="1" s="1"/>
  <c r="GV19" i="1" s="1"/>
  <c r="GV20" i="1" s="1"/>
  <c r="GV21" i="1" s="1"/>
  <c r="GV22" i="1" s="1"/>
  <c r="GV23" i="1" s="1"/>
  <c r="GV24" i="1" s="1"/>
  <c r="GV25" i="1" s="1"/>
  <c r="GV26" i="1" s="1"/>
  <c r="GV27" i="1" s="1"/>
  <c r="GV28" i="1" s="1"/>
  <c r="GV29" i="1" s="1"/>
  <c r="GJ9" i="1"/>
  <c r="GJ10" i="1" s="1"/>
  <c r="FS9" i="1"/>
  <c r="EU9" i="1"/>
  <c r="EI9" i="1"/>
  <c r="EB9" i="1"/>
  <c r="DP9" i="1"/>
  <c r="DD9" i="1"/>
  <c r="BO14" i="1"/>
  <c r="AJ9" i="1"/>
  <c r="AJ10" i="1" s="1"/>
  <c r="A9" i="1"/>
  <c r="A5" i="1" s="1"/>
  <c r="KI8" i="1"/>
  <c r="KB8" i="1"/>
  <c r="JW8" i="1"/>
  <c r="JP8" i="1"/>
  <c r="JP9" i="1" s="1"/>
  <c r="JD8" i="1"/>
  <c r="JD9" i="1" s="1"/>
  <c r="JD10" i="1" s="1"/>
  <c r="JD11" i="1" s="1"/>
  <c r="JD12" i="1" s="1"/>
  <c r="JD13" i="1" s="1"/>
  <c r="JD14" i="1" s="1"/>
  <c r="JD23" i="1" s="1"/>
  <c r="JD24" i="1" s="1"/>
  <c r="JD25" i="1" s="1"/>
  <c r="JD26" i="1" s="1"/>
  <c r="JD27" i="1" s="1"/>
  <c r="JD28" i="1" s="1"/>
  <c r="JD29" i="1" s="1"/>
  <c r="JD30" i="1" s="1"/>
  <c r="JD15" i="1" s="1"/>
  <c r="JD16" i="1" s="1"/>
  <c r="JD17" i="1" s="1"/>
  <c r="JD18" i="1" s="1"/>
  <c r="JD19" i="1" s="1"/>
  <c r="JD20" i="1" s="1"/>
  <c r="JD21" i="1" s="1"/>
  <c r="JD22" i="1" s="1"/>
  <c r="IY8" i="1"/>
  <c r="IR8" i="1"/>
  <c r="IF8" i="1"/>
  <c r="IF9" i="1" s="1"/>
  <c r="IF10" i="1" s="1"/>
  <c r="IF11" i="1" s="1"/>
  <c r="IF12" i="1" s="1"/>
  <c r="IF13" i="1" s="1"/>
  <c r="IF14" i="1" s="1"/>
  <c r="IF15" i="1" s="1"/>
  <c r="IF16" i="1" s="1"/>
  <c r="IF17" i="1" s="1"/>
  <c r="IF18" i="1" s="1"/>
  <c r="IF19" i="1" s="1"/>
  <c r="IF20" i="1" s="1"/>
  <c r="IA8" i="1"/>
  <c r="HT8" i="1"/>
  <c r="HT9" i="1" s="1"/>
  <c r="HO8" i="1"/>
  <c r="HH8" i="1"/>
  <c r="HH5" i="1" s="1"/>
  <c r="GV8" i="1"/>
  <c r="GQ8" i="1"/>
  <c r="GJ8" i="1"/>
  <c r="GE8" i="1"/>
  <c r="FX8" i="1"/>
  <c r="FX9" i="1" s="1"/>
  <c r="FL8" i="1"/>
  <c r="FG8" i="1"/>
  <c r="EZ8" i="1"/>
  <c r="EZ5" i="1" s="1"/>
  <c r="EU8" i="1"/>
  <c r="EN8" i="1"/>
  <c r="EN9" i="1" s="1"/>
  <c r="EN10" i="1" s="1"/>
  <c r="EN11" i="1" s="1"/>
  <c r="EN12" i="1" s="1"/>
  <c r="EN13" i="1" s="1"/>
  <c r="EN14" i="1" s="1"/>
  <c r="EN15" i="1" s="1"/>
  <c r="EB8" i="1"/>
  <c r="DW8" i="1"/>
  <c r="DP8" i="1"/>
  <c r="DK8" i="1"/>
  <c r="DD8" i="1"/>
  <c r="CM8" i="1"/>
  <c r="CF8" i="1"/>
  <c r="CA8" i="1"/>
  <c r="BT8" i="1"/>
  <c r="BC8" i="1"/>
  <c r="AV8" i="1"/>
  <c r="AV9" i="1" s="1"/>
  <c r="AV10" i="1" s="1"/>
  <c r="AV11" i="1" s="1"/>
  <c r="AV12" i="1" s="1"/>
  <c r="AV13" i="1" s="1"/>
  <c r="AV14" i="1" s="1"/>
  <c r="AV15" i="1" s="1"/>
  <c r="AV16" i="1" s="1"/>
  <c r="AJ8" i="1"/>
  <c r="AE8" i="1"/>
  <c r="X8" i="1"/>
  <c r="X9" i="1" s="1"/>
  <c r="L8" i="1"/>
  <c r="A8" i="1"/>
  <c r="KG6" i="1"/>
  <c r="KD6" i="1"/>
  <c r="KC6" i="1"/>
  <c r="JU6" i="1"/>
  <c r="JR6" i="1"/>
  <c r="JQ6" i="1"/>
  <c r="JI6" i="1"/>
  <c r="JF6" i="1"/>
  <c r="JE6" i="1"/>
  <c r="IW6" i="1"/>
  <c r="IT6" i="1"/>
  <c r="IS6" i="1"/>
  <c r="IK6" i="1"/>
  <c r="IH6" i="1"/>
  <c r="IG6" i="1"/>
  <c r="HY6" i="1"/>
  <c r="HV6" i="1"/>
  <c r="HU6" i="1"/>
  <c r="HM6" i="1"/>
  <c r="HJ6" i="1"/>
  <c r="HI6" i="1"/>
  <c r="HA6" i="1"/>
  <c r="GX6" i="1"/>
  <c r="GW6" i="1"/>
  <c r="GO6" i="1"/>
  <c r="GL6" i="1"/>
  <c r="GK6" i="1"/>
  <c r="GC6" i="1"/>
  <c r="FZ6" i="1"/>
  <c r="FY6" i="1"/>
  <c r="FQ6" i="1"/>
  <c r="FN6" i="1"/>
  <c r="FM6" i="1"/>
  <c r="FE6" i="1"/>
  <c r="FB6" i="1"/>
  <c r="FA6" i="1"/>
  <c r="ES6" i="1"/>
  <c r="EP6" i="1"/>
  <c r="EO6" i="1"/>
  <c r="EG6" i="1"/>
  <c r="ED6" i="1"/>
  <c r="EC6" i="1"/>
  <c r="DU6" i="1"/>
  <c r="DR6" i="1"/>
  <c r="DQ6" i="1"/>
  <c r="DI6" i="1"/>
  <c r="DF6" i="1"/>
  <c r="DE6" i="1"/>
  <c r="CW6" i="1"/>
  <c r="CT6" i="1"/>
  <c r="CS6" i="1"/>
  <c r="CK6" i="1"/>
  <c r="CH6" i="1"/>
  <c r="CG6" i="1"/>
  <c r="BY6" i="1"/>
  <c r="BV6" i="1"/>
  <c r="BU6" i="1"/>
  <c r="BM6" i="1"/>
  <c r="BJ6" i="1"/>
  <c r="BI6" i="1"/>
  <c r="BA6" i="1"/>
  <c r="AX6" i="1"/>
  <c r="AW6" i="1"/>
  <c r="AO6" i="1"/>
  <c r="AL6" i="1"/>
  <c r="AK6" i="1"/>
  <c r="AC6" i="1"/>
  <c r="Z6" i="1"/>
  <c r="Y6" i="1"/>
  <c r="Q6" i="1"/>
  <c r="N6" i="1"/>
  <c r="M6" i="1"/>
  <c r="F6" i="1"/>
  <c r="C6" i="1"/>
  <c r="B6" i="1"/>
  <c r="KG5" i="1"/>
  <c r="KD5" i="1"/>
  <c r="JU5" i="1"/>
  <c r="JR5" i="1"/>
  <c r="JI5" i="1"/>
  <c r="JF5" i="1"/>
  <c r="IW5" i="1"/>
  <c r="IT5" i="1"/>
  <c r="IK5" i="1"/>
  <c r="IH5" i="1"/>
  <c r="HY5" i="1"/>
  <c r="HV5" i="1"/>
  <c r="HM5" i="1"/>
  <c r="HJ5" i="1"/>
  <c r="HA5" i="1"/>
  <c r="GX5" i="1"/>
  <c r="GO5" i="1"/>
  <c r="GL5" i="1"/>
  <c r="GC5" i="1"/>
  <c r="FZ5" i="1"/>
  <c r="FQ5" i="1"/>
  <c r="FN5" i="1"/>
  <c r="FE5" i="1"/>
  <c r="FB5" i="1"/>
  <c r="ES5" i="1"/>
  <c r="EP5" i="1"/>
  <c r="EG5" i="1"/>
  <c r="ED5" i="1"/>
  <c r="DU5" i="1"/>
  <c r="DR5" i="1"/>
  <c r="DI5" i="1"/>
  <c r="DF5" i="1"/>
  <c r="DD5" i="1"/>
  <c r="DD1" i="1" s="1"/>
  <c r="CW5" i="1"/>
  <c r="CT5" i="1"/>
  <c r="CR5" i="1"/>
  <c r="CK5" i="1"/>
  <c r="CH5" i="1"/>
  <c r="CF5" i="1"/>
  <c r="BY5" i="1"/>
  <c r="BV5" i="1"/>
  <c r="BM5" i="1"/>
  <c r="BJ5" i="1"/>
  <c r="BA5" i="1"/>
  <c r="AX5" i="1"/>
  <c r="AO5" i="1"/>
  <c r="AL5" i="1"/>
  <c r="AC5" i="1"/>
  <c r="Z5" i="1"/>
  <c r="Q5" i="1"/>
  <c r="N5" i="1"/>
  <c r="L5" i="1"/>
  <c r="F5" i="1"/>
  <c r="C5" i="1"/>
  <c r="CR1" i="1"/>
  <c r="CF1" i="1"/>
  <c r="HH1" i="1" l="1"/>
  <c r="EZ1" i="1"/>
  <c r="D3" i="1"/>
  <c r="BT5" i="1"/>
  <c r="BT1" i="1" s="1"/>
  <c r="G1" i="1"/>
  <c r="G2" i="1" s="1"/>
  <c r="G3" i="1"/>
  <c r="L1" i="1"/>
  <c r="JP10" i="1"/>
  <c r="JP11" i="1" s="1"/>
  <c r="JP12" i="1" s="1"/>
  <c r="JP13" i="1" s="1"/>
  <c r="JP14" i="1" s="1"/>
  <c r="JP15" i="1" s="1"/>
  <c r="JP16" i="1" s="1"/>
  <c r="JP17" i="1" s="1"/>
  <c r="JP18" i="1" s="1"/>
  <c r="JP19" i="1" s="1"/>
  <c r="JP20" i="1" s="1"/>
  <c r="FX10" i="1"/>
  <c r="FX11" i="1" s="1"/>
  <c r="FX12" i="1" s="1"/>
  <c r="FX13" i="1" s="1"/>
  <c r="FX14" i="1" s="1"/>
  <c r="FX15" i="1" s="1"/>
  <c r="FX16" i="1" s="1"/>
  <c r="FX17" i="1" s="1"/>
  <c r="FX18" i="1" s="1"/>
  <c r="FX19" i="1" s="1"/>
  <c r="FX20" i="1" s="1"/>
  <c r="FX21" i="1" s="1"/>
  <c r="FX22" i="1" s="1"/>
  <c r="FX23" i="1" s="1"/>
  <c r="GJ5" i="1"/>
  <c r="GJ1" i="1" s="1"/>
  <c r="GJ11" i="1"/>
  <c r="GJ12" i="1" s="1"/>
  <c r="GJ13" i="1" s="1"/>
  <c r="HT10" i="1"/>
  <c r="HT11" i="1" s="1"/>
  <c r="HT12" i="1" s="1"/>
  <c r="HT13" i="1" s="1"/>
  <c r="HT14" i="1" s="1"/>
  <c r="HT15" i="1" s="1"/>
  <c r="HT16" i="1" s="1"/>
  <c r="HT17" i="1" s="1"/>
  <c r="HT18" i="1" s="1"/>
  <c r="HT5" i="1"/>
  <c r="HT1" i="1" s="1"/>
  <c r="X10" i="1"/>
  <c r="X11" i="1" s="1"/>
  <c r="X12" i="1" s="1"/>
  <c r="X13" i="1" s="1"/>
  <c r="X14" i="1" s="1"/>
  <c r="X15" i="1" s="1"/>
  <c r="X16" i="1" s="1"/>
  <c r="AJ11" i="1"/>
  <c r="AJ12" i="1" s="1"/>
  <c r="AJ5" i="1"/>
  <c r="AJ1" i="1" s="1"/>
  <c r="DP5" i="1"/>
  <c r="DP1" i="1" s="1"/>
  <c r="EB5" i="1"/>
  <c r="EB1" i="1" s="1"/>
  <c r="FL9" i="1"/>
  <c r="FL10" i="1" s="1"/>
  <c r="FL11" i="1" s="1"/>
  <c r="FL12" i="1" s="1"/>
  <c r="FL13" i="1" s="1"/>
  <c r="FL14" i="1" s="1"/>
  <c r="FL15" i="1" s="1"/>
  <c r="FL16" i="1" s="1"/>
  <c r="FL17" i="1" s="1"/>
  <c r="FL18" i="1" s="1"/>
  <c r="FL19" i="1" s="1"/>
  <c r="FL20" i="1" s="1"/>
  <c r="FL21" i="1" s="1"/>
  <c r="FL22" i="1" s="1"/>
  <c r="FL23" i="1" s="1"/>
  <c r="FL24" i="1" s="1"/>
  <c r="FL25" i="1" s="1"/>
  <c r="IR9" i="1"/>
  <c r="IR10" i="1" s="1"/>
  <c r="IR11" i="1" s="1"/>
  <c r="IR12" i="1" s="1"/>
  <c r="IR13" i="1" s="1"/>
  <c r="IR14" i="1" s="1"/>
  <c r="AV5" i="1"/>
  <c r="AV1" i="1" s="1"/>
  <c r="EN5" i="1"/>
  <c r="EN1" i="1" s="1"/>
  <c r="IF5" i="1"/>
  <c r="IF1" i="1" s="1"/>
  <c r="KB5" i="1"/>
  <c r="KB1" i="1" s="1"/>
  <c r="BH5" i="1"/>
  <c r="BH1" i="1" s="1"/>
  <c r="GV5" i="1"/>
  <c r="GV1" i="1" s="1"/>
  <c r="JD5" i="1"/>
  <c r="JD1" i="1" s="1"/>
  <c r="IR5" i="1" l="1"/>
  <c r="IR1" i="1" s="1"/>
  <c r="X5" i="1"/>
  <c r="FL5" i="1"/>
  <c r="FL1" i="1" s="1"/>
  <c r="FX5" i="1"/>
  <c r="FX1" i="1" s="1"/>
  <c r="JP5" i="1"/>
  <c r="JP1" i="1" s="1"/>
  <c r="X1" i="1" l="1"/>
  <c r="C1" i="1"/>
  <c r="C2" i="1" l="1"/>
  <c r="I2" i="1" s="1"/>
  <c r="I1" i="1"/>
</calcChain>
</file>

<file path=xl/sharedStrings.xml><?xml version="1.0" encoding="utf-8"?>
<sst xmlns="http://schemas.openxmlformats.org/spreadsheetml/2006/main" count="1643" uniqueCount="362">
  <si>
    <t>Topps</t>
  </si>
  <si>
    <t>Estimated Total Value</t>
  </si>
  <si>
    <t>Odd Balls / Non-Standard Size</t>
  </si>
  <si>
    <t>1992-93 Topps Archives</t>
  </si>
  <si>
    <t>1992-93 Topps</t>
  </si>
  <si>
    <t>1992-93 Topps Stadium Club</t>
  </si>
  <si>
    <t>1993-94 Topps</t>
  </si>
  <si>
    <t>1993-94 Topps Stadium Club</t>
  </si>
  <si>
    <t>1993-94 Topps Finest</t>
  </si>
  <si>
    <t>1994-95 Topps Embossed</t>
  </si>
  <si>
    <t>1994-95 Topps Stadium Club</t>
  </si>
  <si>
    <t>1994-95 Topps Finest</t>
  </si>
  <si>
    <t>1995-96 Topps</t>
  </si>
  <si>
    <t>1995-96 Topps Stadium Club</t>
  </si>
  <si>
    <t>1995-96 Topps Finest</t>
  </si>
  <si>
    <t>1995-96 Topps Gallery</t>
  </si>
  <si>
    <t>1996 Topps Stars</t>
  </si>
  <si>
    <t>1996-97 Topps</t>
  </si>
  <si>
    <t>1996-97 Topps Chrome</t>
  </si>
  <si>
    <t>1996-97 Topps Stadium Club</t>
  </si>
  <si>
    <t>1996-97 Topps Finest</t>
  </si>
  <si>
    <t>1996-97 Bowman's Best</t>
  </si>
  <si>
    <t>1997-98 Topps</t>
  </si>
  <si>
    <t>1997-98 Topps Chrome</t>
  </si>
  <si>
    <t>1997-98 Topps Stadium Club</t>
  </si>
  <si>
    <t>1997-98 Topps Finest</t>
  </si>
  <si>
    <t>1997-98 Bowman's Best</t>
  </si>
  <si>
    <t>Size</t>
  </si>
  <si>
    <t>Thk.</t>
  </si>
  <si>
    <t>Card</t>
  </si>
  <si>
    <t xml:space="preserve">Print </t>
  </si>
  <si>
    <t>Pack</t>
  </si>
  <si>
    <t>Grade</t>
  </si>
  <si>
    <t>Run</t>
  </si>
  <si>
    <t>Odds</t>
  </si>
  <si>
    <t>Hard Case</t>
  </si>
  <si>
    <r>
      <t>2-</t>
    </r>
    <r>
      <rPr>
        <b/>
        <sz val="20"/>
        <color theme="1"/>
        <rFont val="Calibri"/>
        <family val="2"/>
      </rPr>
      <t>½ x 3-½"</t>
    </r>
  </si>
  <si>
    <t>Standard</t>
  </si>
  <si>
    <t>-----</t>
  </si>
  <si>
    <t>Image Not Available</t>
  </si>
  <si>
    <t>1995-96 Stadium Club - Beam Team NON DIE-CUT #B14 Michael Jordan</t>
  </si>
  <si>
    <t>Album</t>
  </si>
  <si>
    <t>1992-93 Topps Archives #52 Michael Jordan</t>
  </si>
  <si>
    <t>1992-93 Topps #141 Michael Jordan</t>
  </si>
  <si>
    <t>1992-93 Stadium Club #1 Michael Jordan</t>
  </si>
  <si>
    <t>1993-94 Topps #23 Michael Jordan UER</t>
  </si>
  <si>
    <t>1993-94 Stadium Club #169 Michael Jordan</t>
  </si>
  <si>
    <t>1993-94 Finest #1 Michael Jordan</t>
  </si>
  <si>
    <t>1994-95 Topps Embossed #121 Michael Jordan</t>
  </si>
  <si>
    <t>1994-95 Stadium Club Members Only 50 #20 Michael Jordan</t>
  </si>
  <si>
    <t>1994-95 Finest #331 Michael Jordan</t>
  </si>
  <si>
    <t>1995-96 Topps #277 Michael Jordan</t>
  </si>
  <si>
    <t>1995-96 Stadium Club #1 Michael Jordan</t>
  </si>
  <si>
    <t>1995-96 Finest #229 Michael Jordan</t>
  </si>
  <si>
    <t>35 pt</t>
  </si>
  <si>
    <t>SGC 8</t>
  </si>
  <si>
    <t>1995-96 Topps Gallery #10 Michael Jordan</t>
  </si>
  <si>
    <t>1996-97 Topps Stars #24 Michael Jordan</t>
  </si>
  <si>
    <t>1996-97 Topps #139 Michael Jordan</t>
  </si>
  <si>
    <t>1996-97 Topps Chrome #139 Michael Jordan</t>
  </si>
  <si>
    <t>1996-97 Stadium Club #101 Michael Jordan</t>
  </si>
  <si>
    <t>1996-97 Finest #50 Michael Jordan BRZ</t>
  </si>
  <si>
    <t>1996-97 Bowman's Best #80 Michael Jordan</t>
  </si>
  <si>
    <t>1997-98 Topps #123 Michael Jordan</t>
  </si>
  <si>
    <t>1997-98 Topps Chrome #123 Michael Jordan</t>
  </si>
  <si>
    <t>1997-98 Stadium Club #118 Michael Jordan</t>
  </si>
  <si>
    <t>1997-98 Finest #39 Michael Jordan BRZ</t>
  </si>
  <si>
    <t>1997-98 Bowman's Best #60 Michael Jordan</t>
  </si>
  <si>
    <t>1997-98 Topps - Error:  No Foil #123 Michael Jordan</t>
  </si>
  <si>
    <t>1992-93 Topps Archives - Gold #52 Michael Jordan</t>
  </si>
  <si>
    <t>1992-93 Topps - Gold #141 Michael Jordan</t>
  </si>
  <si>
    <t>1992-93 Stadium Club - Members Only #1 Michael Jordan</t>
  </si>
  <si>
    <t>1993-94 Topps - Gold #23 Michael Jordan UER</t>
  </si>
  <si>
    <t>1993-94 Stadium Club - 1994 NBA Finals Super Teams Exchange #169 Michael Jordan EXCH</t>
  </si>
  <si>
    <t>1993-94 Finest - Refractors #1 Michael Jordan</t>
  </si>
  <si>
    <t>1994-95 Topps Embossed - Golden Idols #121 Michael Jordan</t>
  </si>
  <si>
    <t>1994-95 Finest - Refractors #331 Michael Jordan</t>
  </si>
  <si>
    <t>1995-96 Topps - Power Boosters #277 Michael Jordan</t>
  </si>
  <si>
    <t>1995-96 Stadium Club - Members Only #1 Michael Jordan</t>
  </si>
  <si>
    <t>1995-96 Finest - Refractors #229 Michael Jordan</t>
  </si>
  <si>
    <t>1995-96 Topps Gallery - Expressionists #EX2 Michael Jordan</t>
  </si>
  <si>
    <t>1996-97 Topps Stars - Members Only #24 Michael Jordan</t>
  </si>
  <si>
    <t>1996-97 Topps - NBA at 50 #139 Michael Jordan</t>
  </si>
  <si>
    <t>1996-97 Topps Chrome - Refractors #139R Michael Jordan</t>
  </si>
  <si>
    <t>1996-97 Stadium Club - Members Only II #101 Michael Jordan</t>
  </si>
  <si>
    <t>1996-97 Finest - Refractors #50 Michael Jordan BRZ</t>
  </si>
  <si>
    <t>1996-97 Bowman's Best - Refractors #80 Michael Jordan</t>
  </si>
  <si>
    <t>1997-98 Topps - Gold Foil Error #123 Michael Jordan</t>
  </si>
  <si>
    <t>1997-98 Topps Chrome - Refractors #123 Michael Jordan</t>
  </si>
  <si>
    <t>1997-98 Stadium Club - Members Only II #118 Michael Jordan</t>
  </si>
  <si>
    <t>1997-98 Finest - Refractors #39 Michael Jordan BRZ</t>
  </si>
  <si>
    <t>1997-98 Bowman's Best - Refractors #60 Michael Jordan</t>
  </si>
  <si>
    <t>1997-98 Stadium Club - Triumvirate Illuminator Error: Wrong Die Cut #T1B Michael Jordan</t>
  </si>
  <si>
    <t>1992-93 Topps #3 Michael Jordan HL</t>
  </si>
  <si>
    <t>1992-93 Stadium Club #210 Michael Jordan MC</t>
  </si>
  <si>
    <t>1993-94 Topps #64 Michael Jordan 50P</t>
  </si>
  <si>
    <t>1993-94 Stadium Club - First Day Issue #169 Michael Jordan</t>
  </si>
  <si>
    <t>1994-95 Finest #331 Michael Jordan Prototype #23 Jersey</t>
  </si>
  <si>
    <t>1995-96 Topps #1 Michael Jordan ACL</t>
  </si>
  <si>
    <t>1995-96 Stadium Club - Spike Says #SS1 Michael Jordan</t>
  </si>
  <si>
    <t>1995-96 Finest - Dish and Swish #DS4 Scottie Pippen / Michael Jordan</t>
  </si>
  <si>
    <t>1996-97 Topps Stars - Finest #24 Michael Jordan</t>
  </si>
  <si>
    <t>1996-97 Topps #72 Chicago Bulls 72 Wins COMM, RB</t>
  </si>
  <si>
    <t>1996-97 Topps Chrome #72 Chicago Bulls 72 Wins / Michael Jordan / Scottie Pippen / Dennis Rodman COMM</t>
  </si>
  <si>
    <t>1996-97 Stadium Club - Class Acts #CA1 Michael Jordan / Jerry Stackhouse</t>
  </si>
  <si>
    <t>1996-97 Finest #127 Michael Jordan SIL</t>
  </si>
  <si>
    <t>1996-97 Bowman's Best - Atomic Refractors #80 Michael Jordan</t>
  </si>
  <si>
    <t>1997-98 Topps - Minted in Springfield #123 Michael Jordan</t>
  </si>
  <si>
    <t>1997-98 Topps Chrome #51 Checklist / Bulls - Team of the 90s</t>
  </si>
  <si>
    <t>1997-98 Stadium Club - First Day Issue #118 Michael Jordan</t>
  </si>
  <si>
    <t>1997-98 Finest #271 Michael Jordan BRZ</t>
  </si>
  <si>
    <t>1997-98 Bowman's Best - Atomic Refractors #60 Michael Jordan</t>
  </si>
  <si>
    <t>1992-93 Topps - Gold #3 Michael Jordan HL</t>
  </si>
  <si>
    <t>1992-93 Stadium Club - Members Only #210 Michael Jordan</t>
  </si>
  <si>
    <t>1993-94 Topps - Gold #64 Michael Jordan 50P</t>
  </si>
  <si>
    <t>1993-94 Stadium Club - Members Only #169 Michael Jordan</t>
  </si>
  <si>
    <t>1995-96 Topps - Power Boosters #1 Michael Jordan ACL</t>
  </si>
  <si>
    <t>1995-96 Stadium Club - Spike Says Members Only #SS1 Michael Jordan</t>
  </si>
  <si>
    <t>1995-96 Finest - Hot Stuff #HS1 Michael Jordan</t>
  </si>
  <si>
    <t>1996-97 Topps Stars - Finest Refractors #24 Michael Jordan</t>
  </si>
  <si>
    <t>1996-97 Topps - NBA at 50 #72 Chicago Bulls 72 Wins COMM, RB</t>
  </si>
  <si>
    <t>1996-97 Topps Chrome Refractor #72 Chicago Bulls 72 Wins / Michael Jordan / Scottie Pippen / Dennis Rodman COMM</t>
  </si>
  <si>
    <t>1996-97 Stadium Club - Member's Only Class Acts #CA1 Michael Jordan / Jerry Stackhouse</t>
  </si>
  <si>
    <t>1996-97 Finest - Refractors #127 Michael Jordan SIL</t>
  </si>
  <si>
    <t>1996-97 Bowman's Best - Cuts #BC2 Michael Jordan</t>
  </si>
  <si>
    <t>1997-98 Topps - Gold Foil Error Minted in Springfield #123 Michael Jordan</t>
  </si>
  <si>
    <t>1997-98 Topps Chrome - Refractors #51 CL/Bulls - Team of the 90s</t>
  </si>
  <si>
    <t>1997-98 Stadium Club - One of a Kind #118 Michael Jordan PR150</t>
  </si>
  <si>
    <t>1997-98 Finest - Refractors #271 Michael Jordan BRZ</t>
  </si>
  <si>
    <t>1997-98 Bowman's Best #96 Michael Jordan BP</t>
  </si>
  <si>
    <t>1992-93 Topps #115 Michael Jordan AS</t>
  </si>
  <si>
    <t>1992-93 Stadium Club - Beam Team #1 Michael Jordan</t>
  </si>
  <si>
    <t>1993-94 Topps #101 Michael Jordan AS</t>
  </si>
  <si>
    <t>1993-94 Stadium Club #1 Michael Jordan TD</t>
  </si>
  <si>
    <t>1995-96 Topps #4 Michael Jordan ACL</t>
  </si>
  <si>
    <t>1995-96 Stadium Club - Beam Team #BT14 Michael Jordan</t>
  </si>
  <si>
    <t>1995-96 Finest - Veteran/Rookie #RV20 Jason Caffey / Michael Jordan</t>
  </si>
  <si>
    <t>1996-97 Topps Stars - Finest Atomic Refractors #24 Michael Jordan</t>
  </si>
  <si>
    <t>1996-97 Topps - ProFiles #PF-3 Michael Jordan</t>
  </si>
  <si>
    <t>1996-97 Topps Chrome - ProFiles #PF-3 Michael Jordan</t>
  </si>
  <si>
    <t>1996-97 Stadium Club - Class Acts Refractors #CA1 Michael Jordan / Jerry Stackhouse</t>
  </si>
  <si>
    <t>1996-97 Finest #291 Michael Jordan GOLD</t>
  </si>
  <si>
    <t>1996-97 Bowman's Best - Cuts Refractors #BC2 Michael Jordan</t>
  </si>
  <si>
    <t>1997-98 Topps - O-Pee-Chee #123 Michael Jordan</t>
  </si>
  <si>
    <t>1997-98 Topps Chrome - Season's Best #6 Michael Jordan</t>
  </si>
  <si>
    <t>1997-98 Stadium Club #5 Bulls - Team of the 90s</t>
  </si>
  <si>
    <t>1997-98 Finest #287 Michael Jordan SIL</t>
  </si>
  <si>
    <t>1997-98 Bowman's Best - Refractors #96 Michael Jordan BP</t>
  </si>
  <si>
    <t>1992-93 Topps - Gold #115 Michael Jordan AS</t>
  </si>
  <si>
    <t>1992-93 Stadium Club - Beam Team Members Only #1 Michael Jordan</t>
  </si>
  <si>
    <t>1993-94 Topps - Gold #101 Michael Jordan AS</t>
  </si>
  <si>
    <t>1993-94 Stadium Club - 1994 NBA Finals Super Teams Exchange #1 Michael Jordan TD, EXCH</t>
  </si>
  <si>
    <t>1995-96 Topps - Power Boosters #4 Michael Jordan ACL</t>
  </si>
  <si>
    <t>1995-96 Stadium Club - Beam Team Members Only #B14 Michael Jordan</t>
  </si>
  <si>
    <t>1995-96 Finest - Mystery #M1 Michael Jordan</t>
  </si>
  <si>
    <t>1996-97 Topps Stars #74 Michael Jordan GS</t>
  </si>
  <si>
    <t>1996-97 Topps - Season's Best #1 Michael Jordan</t>
  </si>
  <si>
    <t>1996-97 Topps Chrome - Season's Best #1 Michael Jordan</t>
  </si>
  <si>
    <t>1996-97 Stadium Club - Class Acts Atomic Refractors #CA1 Michael Jordan / Jerry Stackhouse</t>
  </si>
  <si>
    <t>1996-97 Finest - Refractors #291 Michael Jordan GOLD</t>
  </si>
  <si>
    <t>1996-97 Bowman's Best - Cuts Atomic Refractors #BC2 Michael Jordan</t>
  </si>
  <si>
    <t>1997-98 Topps - NBA Inside Stuff Top 10 #IS1 Michael Jordan</t>
  </si>
  <si>
    <t>1997-98 Topps Chrome - Season's Best Refractors #6 Michael Jordan</t>
  </si>
  <si>
    <t>1997-98 Stadium Club - Members Only I #5 Team of the 90's / Chicago Bulls</t>
  </si>
  <si>
    <t>1997-98 Finest - Refractors #287 Michael Jordan PR1090</t>
  </si>
  <si>
    <t>1997-98 Bowman's Best - Atomic Refractors #96 Michael Jordan BP</t>
  </si>
  <si>
    <t>1992-93 Topps #205 Michael Jordan 50P</t>
  </si>
  <si>
    <t>1993-94 Topps #199 Michael Jordan RPM</t>
  </si>
  <si>
    <t>1993-94 Stadium Club - First Day Issue #1 Michael Jordan</t>
  </si>
  <si>
    <t>1995-96 Topps - Mystery Finest #M1 Michael Jordan</t>
  </si>
  <si>
    <t>1995-96 Stadium Club - Reign Men #RM2 Michael Jordan</t>
  </si>
  <si>
    <t>1995-96 Finest - Mystery Finest Bordered Refractors ORANGE TEST #M1 Michael Jordan</t>
  </si>
  <si>
    <t>1996-97 Topps Stars - Members Only #74 Michael Jordan GS</t>
  </si>
  <si>
    <t>1996-97 Topps - Season's Best #18 Michael Jordan</t>
  </si>
  <si>
    <t>1996-97 Topps Chrome - Season's Best #18 Michael Jordan</t>
  </si>
  <si>
    <t>1996-97 Stadium Club - Golden Moments #GM3 Chicago Bulls</t>
  </si>
  <si>
    <t>1996-97 Bowman's Best - Honor Roll #HR2 Michael Jordan / Hakeem Olajuwon</t>
  </si>
  <si>
    <t>1997-98 Topps - Season's Best #SB6 Michael Jordan</t>
  </si>
  <si>
    <t>1997-98 Topps Chrome - Topps 40 #T40-5 Michael Jordan</t>
  </si>
  <si>
    <t>1997-98 Stadium Club - First Day Issue #5 Bulls - Team of the 90's</t>
  </si>
  <si>
    <t>1997-98 Finest - Embossed #287 Michael Jordan SIL</t>
  </si>
  <si>
    <t>1997-98 Bowman's Best - Mirror Image #MI1 Ron Mercer / Michael Jordan / Stephon Marbury / Gary Payton</t>
  </si>
  <si>
    <t>1992-93 Topps - Gold #205 Michael Jordan 50P</t>
  </si>
  <si>
    <t>1993-94 Topps - Gold #199 Michael Jordan RPM</t>
  </si>
  <si>
    <t>1993-94 Stadium Club - Members Only #1 Michael Jordan</t>
  </si>
  <si>
    <t>1995-96 Topps - Mystery Finest Refractors #M1 Michael Jordan</t>
  </si>
  <si>
    <t>1995-96 Stadium Club - Reign Men Members Only #RM2 Michael Jordan</t>
  </si>
  <si>
    <t>1995-96 Finest - Mystery Borderless/Silver #M1 Michael Jordan</t>
  </si>
  <si>
    <t>1996-97 Topps Stars - Finest #74 Michael Jordan GS</t>
  </si>
  <si>
    <t>1996-97 Topps - Super Team Champion Mystery Finest Bordered #M14 Michael Jordan Central Division Winner</t>
  </si>
  <si>
    <t>1996-97 Stadium Club - Member's Only Golden Moments #GM3 Chicago Bulls</t>
  </si>
  <si>
    <t>1996-97 Bowman's Best - Honor Roll Refractors #HR2 Michael Jordan / Hakeem Olajuwon</t>
  </si>
  <si>
    <t>1997-98 Topps - Topps 40 #T40-5 Michael Jordan</t>
  </si>
  <si>
    <t>1997-98 Topps Chrome - Topps 40 Refractors #T40-5 Michael Jordan</t>
  </si>
  <si>
    <t>1997-98 Stadium Club - One of a Kind #5 Bulls - Team of the 90s PR150</t>
  </si>
  <si>
    <t>1997-98 Finest - Embossed Refractors #287 Michael Jordan SIL, SN263</t>
  </si>
  <si>
    <t>1997-98 Bowman's Best - Mirror Image Refractors #MI1 Ron Mercer / Michael Jordan / Stephon Marbury / Gary Payton</t>
  </si>
  <si>
    <t>1992-93 Topps - Beam Team #3 Kevin Johnson / Michael Jordan / Dennis Rodman</t>
  </si>
  <si>
    <t>1993-94 Topps #384 Michael Jordan RSL</t>
  </si>
  <si>
    <t>1993-94 Stadium Club #181 Michael Jordan FF</t>
  </si>
  <si>
    <t>1995-96 Topps - Show Stoppers #SS1 Michael Jordan</t>
  </si>
  <si>
    <t>1995-96 Stadium Club - Nemeses #N10 Michael Jordan / Joe Dumars</t>
  </si>
  <si>
    <t>1995-96 Finest - Mystery Borderless Refractors/Gold #M1 Michael Jordan</t>
  </si>
  <si>
    <t>1996-97 Topps Stars - Finest Refractors #74 Michael Jordan GS</t>
  </si>
  <si>
    <t>1996-97 Topps - Super Team Champion Mystery Finest Bordered Refractor #M14 Michael Jordan EXCH</t>
  </si>
  <si>
    <t>1996-97 Stadium Club - High Risers #HR14 Michael Jordan</t>
  </si>
  <si>
    <t>1996-97 Bowman's Best - Honor Roll Atomic Refractors #HR2 Michael Jordan / Hakeem Olajuwon</t>
  </si>
  <si>
    <t>1997-98 Topps - Bound for Glory #BG10 Michael Jordan</t>
  </si>
  <si>
    <t>1997-98 Stadium Club - Triumvirate #T1B Michael Jordan</t>
  </si>
  <si>
    <t>1997-98 Finest #154 Michael Jordan GOLD</t>
  </si>
  <si>
    <t>1997-98 Bowman's Best - Mirror Image Atomic Refractors #MI1 Ron Mercer / Michael Jordan / Stephon Marbury / Gary Payton</t>
  </si>
  <si>
    <t>1992-93 Topps - Beam Team Gold #3 Kevin Johnson / Michael Jordan / Dennis Rodman</t>
  </si>
  <si>
    <t>1993-94 Topps - Gold #384 Michael Jordan RSL</t>
  </si>
  <si>
    <t>1993-94 Stadium Club - 1994 NBA Finals Super Teams Exchange #181 Michael Jordan FF, EXCH</t>
  </si>
  <si>
    <t>1995-96 Topps - Spark Plugs #SP2 Michael Jordan</t>
  </si>
  <si>
    <t>1995-96 Stadium Club - Nemeses Members Only #N10 Michael Jordan / Joe Dumars</t>
  </si>
  <si>
    <t>1996-97 Topps Stars - Finest Atomic Refractors #74 Michael Jordan GS</t>
  </si>
  <si>
    <t>1996-97 Topps - Super Team Champion Mystery Finest Borderless #M14 Michael Jordan Eastern Conference Winner</t>
  </si>
  <si>
    <t>1996-97 Stadium Club - Member's Only High Risers #HR14 Michael Jordan</t>
  </si>
  <si>
    <t>1996-97 Bowman's Best - Shots #BS6 Michael Jordan</t>
  </si>
  <si>
    <t>1997-98 Topps - Clutch Time #CT1 Michael Jordan</t>
  </si>
  <si>
    <t>1997-98 Stadium Club - Member's Only Triumvirate #T1B Michael Jordan</t>
  </si>
  <si>
    <t>1997-98 Finest - Refractors #154 Michael Jordan GOLD, SN289</t>
  </si>
  <si>
    <t>1997-98 Bowman's Best - Techniques #T2 Michael Jordan</t>
  </si>
  <si>
    <t>1993-94 Stadium Club - First Day Issue #181 Michael Jordan</t>
  </si>
  <si>
    <t>1995-96 Topps - Top Flight #TF1 Michael Jordan</t>
  </si>
  <si>
    <t>1995-96 Stadium Club - Warp Speed #WS1 Michael Jordan</t>
  </si>
  <si>
    <t>1996-97 Topps Stars #124 Michael Jordan</t>
  </si>
  <si>
    <t>1996-97 Topps - Holding Court #HC2 Michael Jordan</t>
  </si>
  <si>
    <t>1996-97 Stadium Club - Fusion #F1 Michael Jordan</t>
  </si>
  <si>
    <t>1996-97 Bowman's Best - Shots Refractor #BS6 Michael Jordan</t>
  </si>
  <si>
    <t>1997-98 Topps - Generations #G2 Michael Jordan</t>
  </si>
  <si>
    <t>1997-98 Stadium Club - Triumvirate Luminescent #T1B Michael Jordan</t>
  </si>
  <si>
    <t>Err:  Missing Serial #</t>
  </si>
  <si>
    <t>1997-98 Finest - Refractors #154 Michael Jordan GOLD, Error: Missing Serial #</t>
  </si>
  <si>
    <t>1997-98 Bowman's Best - Techniques Refractors #T2 Michael Jordan</t>
  </si>
  <si>
    <t>1993-94 Stadium Club - Members Only #181 Michael Jordan</t>
  </si>
  <si>
    <t>1995-96 Topps - World Class #WC1 Michael Jordan</t>
  </si>
  <si>
    <t>1995-96 Stadium Club - Warp Speed Members Only #WS1 Michael Jordan</t>
  </si>
  <si>
    <t>1996-97 Topps Stars - Members Only #124 Michael Jordan</t>
  </si>
  <si>
    <t>1996-97 Topps - Holding Court Refractor #HC2 Michael Jordan</t>
  </si>
  <si>
    <t>1996-97 Stadium Club - Member's Only Fusion #F1 Michael Jordan</t>
  </si>
  <si>
    <t>1996-97 Bowman's Best - Shots Atomic Refractor #BS6 Michael Jordan</t>
  </si>
  <si>
    <t>1997-98 Topps - Generations Refractors #G2 Michael Jordan</t>
  </si>
  <si>
    <t>1997-98 Stadium Club - Triumvirate Illuminator #T1B Michael Jordan</t>
  </si>
  <si>
    <t>Err:  non-Die-Cut</t>
  </si>
  <si>
    <t>1997-98 Finest - Refractors #154 Michael Jordan GOLD Error: no Serial Number, not embossed, Atomic Refractor Pattern</t>
  </si>
  <si>
    <t>1997-98 Bowman's Best - Techniques Atomic Refractors #T2 Michael Jordan</t>
  </si>
  <si>
    <t>1993-94 Stadium Club - Beam Team #4 Michael Jordan</t>
  </si>
  <si>
    <t>1995-96 Stadium Club Members Only 50 #40 Michael Jordan</t>
  </si>
  <si>
    <t>1996-97 Topps Stars - Finest #124 Michael Jordan</t>
  </si>
  <si>
    <t>1996-97 Topps - Mystery Finest Bordered #M14 Michael Jordan</t>
  </si>
  <si>
    <t>1996-97 Stadium Club - Shining Moments #SM2 Michael Jordan</t>
  </si>
  <si>
    <t>1997-98 Topps - Rock Stars #RS1 Michael Jordan</t>
  </si>
  <si>
    <t>1997-98 Stadium Club - Triumvirate #T9B Michael Jordan</t>
  </si>
  <si>
    <t>1997-98 Finest - Embossed #154 Michael Jordan GOLD</t>
  </si>
  <si>
    <t>1993-94 Stadium Club - Beam Team Members Only #4 Michael Jordan</t>
  </si>
  <si>
    <t>1996-97 Topps Stars - Finest Refractors #124 Michael Jordan</t>
  </si>
  <si>
    <t>1996-97 Topps - Mystery Finest Bordered Refractor #M14 Michael Jordan</t>
  </si>
  <si>
    <t>1996-97 Stadium Club - Member's Only Shining Moments #SM2 Michael Jordan</t>
  </si>
  <si>
    <t>1997-98 Topps - Rock Stars Refractors #RS1 Michael Jordan</t>
  </si>
  <si>
    <t>1997-98 Stadium Club - Member's Only Triumvirate #T9B Michael Jordan</t>
  </si>
  <si>
    <t>1997-98 Finest - Embossed Refractors #154 Michael Jordan GOLD, PR74</t>
  </si>
  <si>
    <t>1993-94 Stadium Club - Beam Team Members Only Gold Stamp #4 Michael Jordan</t>
  </si>
  <si>
    <t>1996-97 Topps Stars - Finest Atomic Refractors #124 Michael Jordan</t>
  </si>
  <si>
    <t>1996-97 Topps - Mystery Finest Borderless #M14 Michael Jordan</t>
  </si>
  <si>
    <t>1996-97 Stadium Club - Special Forces #SF4 Michael Jordan</t>
  </si>
  <si>
    <t>1997-98 Stadium Club - Triumvirate Luminescent #T9B Michael Jordan</t>
  </si>
  <si>
    <t>1996-97 Topps Stars - Imagine #I-6 Michael Jordan / Oscar Robertson</t>
  </si>
  <si>
    <t>1996-97 Topps - Mystery Finest Borderless Refractor #M14 Michael Jordan</t>
  </si>
  <si>
    <t>1996-97 Stadium Club - Member's Only Special Forces #SF4 Michael Jordan</t>
  </si>
  <si>
    <t>1997-98 Stadium Club - Triumvirate Illuminator #T9B Michael Jordan</t>
  </si>
  <si>
    <t>1993 Stadium Club Members Only #NNO Michael Jordan</t>
  </si>
  <si>
    <t>1996-97 Topps Stars - Imagine Members Only #I-6 Michael Jordan / Oscar Robertson</t>
  </si>
  <si>
    <t>1996-97 Topps - Super Teams #NNO Chicago Bulls RDM</t>
  </si>
  <si>
    <t>1996-97 Stadium Club - Special Forces FOIL #SF4 Michael Jordan</t>
  </si>
  <si>
    <t>1997-98 Stadium Club - Hardcourt Heroics #H1 Michael Jordan</t>
  </si>
  <si>
    <t>1996-97 Topps Stars - Reprints #24 Michael Jordan</t>
  </si>
  <si>
    <t>1996-97 Stadium Club - Top Crop #TC9 Gary Payton/Michael Jordan</t>
  </si>
  <si>
    <t>1997-98 Stadium Club - Member's Only Hardcourt Heroics #H1 Michael Jordan</t>
  </si>
  <si>
    <t>1996-97 Topps Stars - Reprints Members Only #24 Michael Jordan</t>
  </si>
  <si>
    <t>1996-97 Stadium Club - Member's Only Top Crop #TC9 Gary Payton / Michael Jordan</t>
  </si>
  <si>
    <t>1997-98 Stadium Club - Hoop Screams #HS10 Michael Jordan</t>
  </si>
  <si>
    <t>1996-97 Stadium Club - Members Only 55 #41 Michael Jordan</t>
  </si>
  <si>
    <t>1997-98 Stadium Club - Member's Only Hoop Screams #HS10 Michael Jordan</t>
  </si>
  <si>
    <t>1996-97 Stadium Club - Finest Reprints #24 Michael Jordan</t>
  </si>
  <si>
    <t>1997-98 Stadium Club - Never Compromise #NC1 Michael Jordan</t>
  </si>
  <si>
    <t>1996-97 Stadium Club - Finest Reprints Refractors #24 Michael Jordan</t>
  </si>
  <si>
    <t>1997-98 Stadium Club - Member's Only Never Compromise #NC1 Michael Jordan</t>
  </si>
  <si>
    <t>SGC 9</t>
  </si>
  <si>
    <t>1996-97 Stadium Club - Topps Gallery - Player's Private Issue #10</t>
  </si>
  <si>
    <t>1997-98 Stadium Club - Royal Court #RC6 Michael Jordan</t>
  </si>
  <si>
    <t>1997-98 Stadium Club - Member's Only Royal Court #RC6 Michael Jordan</t>
  </si>
  <si>
    <t>Raw - NM+</t>
  </si>
  <si>
    <t>Retail</t>
  </si>
  <si>
    <t>Raw - Excellent</t>
  </si>
  <si>
    <t>Hobby</t>
  </si>
  <si>
    <t>Raw - Good</t>
  </si>
  <si>
    <t>Jumbo</t>
  </si>
  <si>
    <t>PSA 10</t>
  </si>
  <si>
    <t>Cello</t>
  </si>
  <si>
    <t>PSA 9</t>
  </si>
  <si>
    <t>Rack</t>
  </si>
  <si>
    <t>PSA 8.5</t>
  </si>
  <si>
    <t>Wax</t>
  </si>
  <si>
    <t>PSA 8</t>
  </si>
  <si>
    <t>Foil</t>
  </si>
  <si>
    <t>PSA 7</t>
  </si>
  <si>
    <t>PSA 6-</t>
  </si>
  <si>
    <t>BGS 10</t>
  </si>
  <si>
    <t>BGS 9.5</t>
  </si>
  <si>
    <t>BGS 9</t>
  </si>
  <si>
    <t>BGS 8.5</t>
  </si>
  <si>
    <t>BGS 8</t>
  </si>
  <si>
    <t>BGS 7.5</t>
  </si>
  <si>
    <t>BGS 7</t>
  </si>
  <si>
    <t>BGS 6.5</t>
  </si>
  <si>
    <t>BGS 6-</t>
  </si>
  <si>
    <t>SGC 10</t>
  </si>
  <si>
    <t>SGC 9.5</t>
  </si>
  <si>
    <t>SGC 8.5</t>
  </si>
  <si>
    <t>SGC 7.5</t>
  </si>
  <si>
    <t>SGC 7</t>
  </si>
  <si>
    <t>SGC 6.5</t>
  </si>
  <si>
    <t>SGC 6-</t>
  </si>
  <si>
    <t>CGC 10</t>
  </si>
  <si>
    <t>CGC 9.5</t>
  </si>
  <si>
    <t>CGC 9</t>
  </si>
  <si>
    <t>CGC 8.5</t>
  </si>
  <si>
    <t>CGC 8</t>
  </si>
  <si>
    <t>CGC 7.5</t>
  </si>
  <si>
    <t>CGC 7</t>
  </si>
  <si>
    <t>CGC 6.5</t>
  </si>
  <si>
    <t>CGC 6-</t>
  </si>
  <si>
    <t>TAG 10</t>
  </si>
  <si>
    <t>TAG 9.5</t>
  </si>
  <si>
    <t>TAG 9</t>
  </si>
  <si>
    <t>TAG 8.5</t>
  </si>
  <si>
    <t>TAG 8</t>
  </si>
  <si>
    <t>TAG 7.5</t>
  </si>
  <si>
    <t>TAG 7</t>
  </si>
  <si>
    <t>TAG 6.5</t>
  </si>
  <si>
    <t>TAG 6-</t>
  </si>
  <si>
    <t>RE 10</t>
  </si>
  <si>
    <t>RE 9.5</t>
  </si>
  <si>
    <t>RE 9</t>
  </si>
  <si>
    <t>RE 8.5</t>
  </si>
  <si>
    <t>RE 8</t>
  </si>
  <si>
    <t>RE 7.5</t>
  </si>
  <si>
    <t>RE 7</t>
  </si>
  <si>
    <t>RE 6.5</t>
  </si>
  <si>
    <t>RE 6-</t>
  </si>
  <si>
    <t>HGA 10</t>
  </si>
  <si>
    <t>HGA 9.5</t>
  </si>
  <si>
    <t>HGA 9</t>
  </si>
  <si>
    <t>HGA 8.5</t>
  </si>
  <si>
    <t>HGA 8</t>
  </si>
  <si>
    <t>HGA 7.5</t>
  </si>
  <si>
    <t>HGA 7</t>
  </si>
  <si>
    <t>HGA 6.5</t>
  </si>
  <si>
    <t>HGA 6-</t>
  </si>
  <si>
    <t>1993-94 Stadium Club - PROMO #1 Michael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</si>
</sst>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164" formatCode="0\ &quot;Total Cards&quot;"/>
    <numFmt numFmtId="165" formatCode="0\ &quot;Hard Case Cards&quot;"/>
    <numFmt numFmtId="166" formatCode="0\ &quot;Album Cards&quot;"/>
    <numFmt numFmtId="167" formatCode="&quot;$&quot;#,##0"/>
    <numFmt numFmtId="168" formatCode="0\ &quot;Total Remaining&quot;"/>
    <numFmt numFmtId="169" formatCode="0\ &quot;Hard Case Remain&quot;"/>
    <numFmt numFmtId="170" formatCode="0\ &quot;Album Remain&quot;"/>
    <numFmt numFmtId="171" formatCode="&quot;$&quot;#,##0\ &quot;Captured&quot;"/>
    <numFmt numFmtId="172" formatCode="&quot;1 :&quot;\ #,#00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8"/>
      <color theme="1"/>
      <name val="72 Black"/>
      <family val="2"/>
    </font>
    <font>
      <sz val="28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C6491A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theme="1"/>
      <name val="Calibri"/>
      <family val="2"/>
    </font>
    <font>
      <b/>
      <sz val="20"/>
      <name val="Arial"/>
      <family val="2"/>
    </font>
    <font>
      <u/>
      <sz val="11"/>
      <color theme="1"/>
      <name val="Aptos Narrow"/>
      <family val="2"/>
      <scheme val="minor"/>
    </font>
    <font>
      <sz val="8"/>
      <color rgb="FF0D6EFD"/>
      <name val="Arial"/>
      <family val="2"/>
    </font>
    <font>
      <u/>
      <sz val="11"/>
      <name val="Aptos Narrow"/>
      <family val="2"/>
      <scheme val="minor"/>
    </font>
    <font>
      <sz val="8"/>
      <name val="Arial"/>
      <family val="2"/>
    </font>
    <font>
      <sz val="1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4" borderId="0" xfId="0" applyFill="1"/>
    <xf numFmtId="0" fontId="5" fillId="4" borderId="0" xfId="0" applyFont="1" applyFill="1"/>
    <xf numFmtId="0" fontId="0" fillId="3" borderId="0" xfId="0" applyFill="1"/>
    <xf numFmtId="167" fontId="0" fillId="3" borderId="0" xfId="1" applyNumberFormat="1" applyFont="1" applyFill="1"/>
    <xf numFmtId="167" fontId="6" fillId="3" borderId="2" xfId="1" applyNumberFormat="1" applyFont="1" applyFill="1" applyBorder="1"/>
    <xf numFmtId="0" fontId="7" fillId="3" borderId="3" xfId="0" applyFont="1" applyFill="1" applyBorder="1"/>
    <xf numFmtId="0" fontId="11" fillId="3" borderId="9" xfId="0" applyFont="1" applyFill="1" applyBorder="1" applyAlignment="1">
      <alignment horizontal="center"/>
    </xf>
    <xf numFmtId="0" fontId="12" fillId="3" borderId="0" xfId="0" applyFont="1" applyFill="1"/>
    <xf numFmtId="167" fontId="11" fillId="3" borderId="6" xfId="0" applyNumberFormat="1" applyFont="1" applyFill="1" applyBorder="1"/>
    <xf numFmtId="0" fontId="12" fillId="3" borderId="0" xfId="0" applyFont="1" applyFill="1" applyAlignment="1">
      <alignment horizontal="center"/>
    </xf>
    <xf numFmtId="0" fontId="12" fillId="3" borderId="1" xfId="0" applyFont="1" applyFill="1" applyBorder="1"/>
    <xf numFmtId="0" fontId="12" fillId="4" borderId="0" xfId="0" applyFont="1" applyFill="1"/>
    <xf numFmtId="0" fontId="12" fillId="0" borderId="0" xfId="0" applyFont="1"/>
    <xf numFmtId="0" fontId="0" fillId="3" borderId="11" xfId="0" applyFill="1" applyBorder="1"/>
    <xf numFmtId="0" fontId="11" fillId="3" borderId="6" xfId="0" applyFont="1" applyFill="1" applyBorder="1" applyAlignment="1">
      <alignment horizontal="center"/>
    </xf>
    <xf numFmtId="167" fontId="11" fillId="3" borderId="6" xfId="0" applyNumberFormat="1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0" fillId="3" borderId="7" xfId="0" applyFill="1" applyBorder="1"/>
    <xf numFmtId="0" fontId="13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textRotation="90" wrapText="1"/>
    </xf>
    <xf numFmtId="0" fontId="14" fillId="3" borderId="5" xfId="0" applyFont="1" applyFill="1" applyBorder="1" applyAlignment="1">
      <alignment horizontal="center" vertical="center" textRotation="90" wrapText="1"/>
    </xf>
    <xf numFmtId="167" fontId="9" fillId="3" borderId="5" xfId="1" applyNumberFormat="1" applyFont="1" applyFill="1" applyBorder="1" applyAlignment="1">
      <alignment horizontal="center" vertical="center" wrapText="1"/>
    </xf>
    <xf numFmtId="0" fontId="9" fillId="3" borderId="5" xfId="1" quotePrefix="1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top" wrapText="1"/>
    </xf>
    <xf numFmtId="0" fontId="18" fillId="3" borderId="5" xfId="0" applyFont="1" applyFill="1" applyBorder="1" applyAlignment="1">
      <alignment horizontal="center" vertical="center" wrapText="1"/>
    </xf>
    <xf numFmtId="3" fontId="9" fillId="3" borderId="5" xfId="1" quotePrefix="1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vertical="top" wrapText="1"/>
    </xf>
    <xf numFmtId="0" fontId="9" fillId="3" borderId="5" xfId="1" applyNumberFormat="1" applyFont="1" applyFill="1" applyBorder="1" applyAlignment="1">
      <alignment horizontal="center" vertical="center" wrapText="1"/>
    </xf>
    <xf numFmtId="172" fontId="9" fillId="3" borderId="5" xfId="1" applyNumberFormat="1" applyFont="1" applyFill="1" applyBorder="1" applyAlignment="1">
      <alignment horizontal="center" vertical="center" wrapText="1"/>
    </xf>
    <xf numFmtId="3" fontId="9" fillId="3" borderId="5" xfId="1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top" wrapText="1"/>
    </xf>
    <xf numFmtId="0" fontId="1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0" xfId="1" applyNumberFormat="1" applyFont="1" applyFill="1"/>
    <xf numFmtId="3" fontId="0" fillId="3" borderId="0" xfId="1" applyNumberFormat="1" applyFont="1" applyFill="1"/>
    <xf numFmtId="3" fontId="0" fillId="3" borderId="0" xfId="0" applyNumberFormat="1" applyFill="1"/>
    <xf numFmtId="0" fontId="17" fillId="3" borderId="0" xfId="0" applyFont="1" applyFill="1" applyAlignment="1">
      <alignment vertical="top" wrapText="1"/>
    </xf>
    <xf numFmtId="0" fontId="20" fillId="3" borderId="5" xfId="0" applyFont="1" applyFill="1" applyBorder="1" applyAlignment="1">
      <alignment horizontal="center" wrapText="1"/>
    </xf>
    <xf numFmtId="0" fontId="21" fillId="3" borderId="5" xfId="0" applyFont="1" applyFill="1" applyBorder="1"/>
    <xf numFmtId="3" fontId="0" fillId="3" borderId="5" xfId="1" applyNumberFormat="1" applyFont="1" applyFill="1" applyBorder="1"/>
    <xf numFmtId="3" fontId="9" fillId="3" borderId="0" xfId="0" applyNumberFormat="1" applyFont="1" applyFill="1" applyAlignment="1">
      <alignment horizontal="center" vertical="center"/>
    </xf>
    <xf numFmtId="1" fontId="22" fillId="0" borderId="0" xfId="0" quotePrefix="1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1" fillId="3" borderId="6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8" fontId="3" fillId="3" borderId="8" xfId="0" applyNumberFormat="1" applyFont="1" applyFill="1" applyBorder="1" applyAlignment="1">
      <alignment horizontal="center" vertical="center" wrapText="1"/>
    </xf>
    <xf numFmtId="169" fontId="3" fillId="3" borderId="2" xfId="0" applyNumberFormat="1" applyFont="1" applyFill="1" applyBorder="1" applyAlignment="1">
      <alignment horizontal="center" vertical="center" wrapText="1"/>
    </xf>
    <xf numFmtId="169" fontId="3" fillId="3" borderId="4" xfId="0" applyNumberFormat="1" applyFont="1" applyFill="1" applyBorder="1" applyAlignment="1">
      <alignment horizontal="center" vertical="center" wrapText="1"/>
    </xf>
    <xf numFmtId="170" fontId="3" fillId="3" borderId="5" xfId="0" applyNumberFormat="1" applyFont="1" applyFill="1" applyBorder="1" applyAlignment="1">
      <alignment horizontal="center" vertical="center" wrapText="1"/>
    </xf>
    <xf numFmtId="167" fontId="8" fillId="3" borderId="3" xfId="0" applyNumberFormat="1" applyFont="1" applyFill="1" applyBorder="1" applyAlignment="1">
      <alignment horizontal="center"/>
    </xf>
    <xf numFmtId="167" fontId="8" fillId="3" borderId="4" xfId="0" applyNumberFormat="1" applyFont="1" applyFill="1" applyBorder="1" applyAlignment="1">
      <alignment horizontal="center"/>
    </xf>
    <xf numFmtId="171" fontId="9" fillId="3" borderId="2" xfId="0" applyNumberFormat="1" applyFont="1" applyFill="1" applyBorder="1" applyAlignment="1">
      <alignment horizontal="center"/>
    </xf>
    <xf numFmtId="171" fontId="9" fillId="3" borderId="3" xfId="0" applyNumberFormat="1" applyFont="1" applyFill="1" applyBorder="1" applyAlignment="1">
      <alignment horizontal="center"/>
    </xf>
    <xf numFmtId="171" fontId="9" fillId="3" borderId="4" xfId="0" applyNumberFormat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6" fontId="3" fillId="3" borderId="5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73"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0283AA7C-140A-4A5A-882D-40EA16601A1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284</xdr:col>
      <xdr:colOff>17318</xdr:colOff>
      <xdr:row>19</xdr:row>
      <xdr:rowOff>34636</xdr:rowOff>
    </xdr:from>
    <xdr:ext cx="1028700" cy="1428750"/>
    <xdr:pic>
      <xdr:nvPicPr>
        <xdr:cNvPr id="2" name="Picture 1" descr="https://www.tcdb.com/Images/Thumbs/Basketball/25766/25766_3015877Thumb2.jpg">
          <a:extLst>
            <a:ext uri="{FF2B5EF4-FFF2-40B4-BE49-F238E27FC236}">
              <a16:creationId xmlns:a16="http://schemas.microsoft.com/office/drawing/2014/main" id="{2D24DFC7-67F9-4A2D-9ACE-0F15EBD16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2818" y="23904286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6</xdr:row>
      <xdr:rowOff>17318</xdr:rowOff>
    </xdr:from>
    <xdr:ext cx="1006475" cy="1428750"/>
    <xdr:pic>
      <xdr:nvPicPr>
        <xdr:cNvPr id="3" name="Picture 2" descr="https://www.tcdb.com/Images/Thumbs/Basketball/2115/2115_141Thumb2.jpg">
          <a:extLst>
            <a:ext uri="{FF2B5EF4-FFF2-40B4-BE49-F238E27FC236}">
              <a16:creationId xmlns:a16="http://schemas.microsoft.com/office/drawing/2014/main" id="{B21961BC-1DFC-4B23-9379-61DF8174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1150" y="1598468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8</xdr:row>
      <xdr:rowOff>0</xdr:rowOff>
    </xdr:from>
    <xdr:ext cx="1025525" cy="1428750"/>
    <xdr:pic>
      <xdr:nvPicPr>
        <xdr:cNvPr id="4" name="Picture 3" descr="https://www.tcdb.com/Images/Thumbs/Basketball/2115/2115_3Thumb2.jpg">
          <a:extLst>
            <a:ext uri="{FF2B5EF4-FFF2-40B4-BE49-F238E27FC236}">
              <a16:creationId xmlns:a16="http://schemas.microsoft.com/office/drawing/2014/main" id="{91C79499-A55E-466D-9162-922EABDD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1150" y="5010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10</xdr:row>
      <xdr:rowOff>0</xdr:rowOff>
    </xdr:from>
    <xdr:ext cx="1009650" cy="1428750"/>
    <xdr:pic>
      <xdr:nvPicPr>
        <xdr:cNvPr id="5" name="Picture 4" descr="https://www.tcdb.com/Images/Thumbs/Basketball/2115/2115_115Thumb2.jpg">
          <a:extLst>
            <a:ext uri="{FF2B5EF4-FFF2-40B4-BE49-F238E27FC236}">
              <a16:creationId xmlns:a16="http://schemas.microsoft.com/office/drawing/2014/main" id="{BF8D8EA5-B1E1-4773-B7B4-50B9D4EFB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1150" y="8439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12</xdr:row>
      <xdr:rowOff>0</xdr:rowOff>
    </xdr:from>
    <xdr:ext cx="1006475" cy="1428750"/>
    <xdr:pic>
      <xdr:nvPicPr>
        <xdr:cNvPr id="6" name="Picture 5" descr="https://www.tcdb.com/Images/Thumbs/Basketball/2115/2115_205Thumb2.jpg">
          <a:extLst>
            <a:ext uri="{FF2B5EF4-FFF2-40B4-BE49-F238E27FC236}">
              <a16:creationId xmlns:a16="http://schemas.microsoft.com/office/drawing/2014/main" id="{EB4BD0C9-4E1A-4EBB-8585-435BF427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1150" y="118681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30056</xdr:colOff>
      <xdr:row>14</xdr:row>
      <xdr:rowOff>18614</xdr:rowOff>
    </xdr:from>
    <xdr:ext cx="1033653" cy="1426464"/>
    <xdr:pic>
      <xdr:nvPicPr>
        <xdr:cNvPr id="7" name="Picture 6" descr="https://www.tcdb.com/Images/Thumbs/Basketball/2117/2117_3Thumb2.jpg">
          <a:extLst>
            <a:ext uri="{FF2B5EF4-FFF2-40B4-BE49-F238E27FC236}">
              <a16:creationId xmlns:a16="http://schemas.microsoft.com/office/drawing/2014/main" id="{18CD84A3-6272-41D5-B2BF-492974B040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1737976" y="15512169"/>
          <a:ext cx="1426464" cy="103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7</xdr:row>
      <xdr:rowOff>0</xdr:rowOff>
    </xdr:from>
    <xdr:ext cx="1025525" cy="1428750"/>
    <xdr:pic>
      <xdr:nvPicPr>
        <xdr:cNvPr id="8" name="Picture 7" descr="https://www.tcdb.com/Images/Thumbs/Basketball/25532/25532_141GThumb2.jpg">
          <a:extLst>
            <a:ext uri="{FF2B5EF4-FFF2-40B4-BE49-F238E27FC236}">
              <a16:creationId xmlns:a16="http://schemas.microsoft.com/office/drawing/2014/main" id="{E4172E95-1175-4809-B62F-6C4985A1A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1150" y="3295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9</xdr:row>
      <xdr:rowOff>0</xdr:rowOff>
    </xdr:from>
    <xdr:ext cx="1025525" cy="1428750"/>
    <xdr:pic>
      <xdr:nvPicPr>
        <xdr:cNvPr id="9" name="Picture 8" descr="https://www.tcdb.com/Images/Thumbs/Basketball/25532/25532_2990674Thumb2.jpg">
          <a:extLst>
            <a:ext uri="{FF2B5EF4-FFF2-40B4-BE49-F238E27FC236}">
              <a16:creationId xmlns:a16="http://schemas.microsoft.com/office/drawing/2014/main" id="{1BCF1904-A2BA-4648-A4B0-0DFFBE67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1150" y="6724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11</xdr:row>
      <xdr:rowOff>0</xdr:rowOff>
    </xdr:from>
    <xdr:ext cx="1028700" cy="1428750"/>
    <xdr:pic>
      <xdr:nvPicPr>
        <xdr:cNvPr id="10" name="Picture 9" descr="https://www.tcdb.com/Images/Thumbs/Basketball/25532/25532_115GThumb2.jpg">
          <a:extLst>
            <a:ext uri="{FF2B5EF4-FFF2-40B4-BE49-F238E27FC236}">
              <a16:creationId xmlns:a16="http://schemas.microsoft.com/office/drawing/2014/main" id="{1C36545E-16AC-442D-A05F-65326938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1150" y="10153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13</xdr:row>
      <xdr:rowOff>0</xdr:rowOff>
    </xdr:from>
    <xdr:ext cx="1025525" cy="1428750"/>
    <xdr:pic>
      <xdr:nvPicPr>
        <xdr:cNvPr id="11" name="Picture 10" descr="https://www.tcdb.com/Images/Thumbs/Basketball/25532/25532_205GThumb2.jpg">
          <a:extLst>
            <a:ext uri="{FF2B5EF4-FFF2-40B4-BE49-F238E27FC236}">
              <a16:creationId xmlns:a16="http://schemas.microsoft.com/office/drawing/2014/main" id="{56E1996A-72F3-42FF-83EA-F217035D5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1150" y="13582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20328</xdr:colOff>
      <xdr:row>15</xdr:row>
      <xdr:rowOff>24058</xdr:rowOff>
    </xdr:from>
    <xdr:ext cx="1020953" cy="1423289"/>
    <xdr:pic>
      <xdr:nvPicPr>
        <xdr:cNvPr id="12" name="Picture 11" descr="https://www.tcdb.com/Images/Thumbs/Basketball/25551/25551_2990667Thumb2.jpg">
          <a:extLst>
            <a:ext uri="{FF2B5EF4-FFF2-40B4-BE49-F238E27FC236}">
              <a16:creationId xmlns:a16="http://schemas.microsoft.com/office/drawing/2014/main" id="{D89A4BEB-13BA-47CB-B2F1-D936670761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1720310" y="17240051"/>
          <a:ext cx="1423289" cy="1020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6</xdr:row>
      <xdr:rowOff>17318</xdr:rowOff>
    </xdr:from>
    <xdr:ext cx="1025525" cy="1428750"/>
    <xdr:pic>
      <xdr:nvPicPr>
        <xdr:cNvPr id="13" name="Picture 12" descr="https://www.tcdb.com/Images/Thumbs/Basketball/2113/2113_1Thumb2.jpg">
          <a:extLst>
            <a:ext uri="{FF2B5EF4-FFF2-40B4-BE49-F238E27FC236}">
              <a16:creationId xmlns:a16="http://schemas.microsoft.com/office/drawing/2014/main" id="{6DC97496-E7D9-4A20-986C-20932DB13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05300" y="1598468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8</xdr:row>
      <xdr:rowOff>0</xdr:rowOff>
    </xdr:from>
    <xdr:ext cx="1006475" cy="1428750"/>
    <xdr:pic>
      <xdr:nvPicPr>
        <xdr:cNvPr id="14" name="Picture 13" descr="https://www.tcdb.com/Images/Thumbs/Basketball/2113/2113_210Thumb2.jpg">
          <a:extLst>
            <a:ext uri="{FF2B5EF4-FFF2-40B4-BE49-F238E27FC236}">
              <a16:creationId xmlns:a16="http://schemas.microsoft.com/office/drawing/2014/main" id="{D42E4910-22AB-416C-91BC-0C996C9C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05300" y="50101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10</xdr:row>
      <xdr:rowOff>0</xdr:rowOff>
    </xdr:from>
    <xdr:ext cx="1009650" cy="1428750"/>
    <xdr:pic>
      <xdr:nvPicPr>
        <xdr:cNvPr id="15" name="Picture 14" descr="https://www.tcdb.com/Images/Thumbs/Basketball/2114/2114_670821RepThumb2.jpg">
          <a:extLst>
            <a:ext uri="{FF2B5EF4-FFF2-40B4-BE49-F238E27FC236}">
              <a16:creationId xmlns:a16="http://schemas.microsoft.com/office/drawing/2014/main" id="{41D13C5C-3523-4554-883D-EA6A45241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05300" y="8439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11</xdr:row>
      <xdr:rowOff>0</xdr:rowOff>
    </xdr:from>
    <xdr:ext cx="1009650" cy="1428750"/>
    <xdr:pic>
      <xdr:nvPicPr>
        <xdr:cNvPr id="16" name="Picture 15" descr="https://www.tcdb.com/Images/Thumbs/Basketball/25549/25549_2990644Thumb2.jpg">
          <a:extLst>
            <a:ext uri="{FF2B5EF4-FFF2-40B4-BE49-F238E27FC236}">
              <a16:creationId xmlns:a16="http://schemas.microsoft.com/office/drawing/2014/main" id="{FB4C1924-E43D-486D-8B7B-6BA98038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05300" y="10153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7</xdr:row>
      <xdr:rowOff>0</xdr:rowOff>
    </xdr:from>
    <xdr:ext cx="1028700" cy="1428750"/>
    <xdr:pic>
      <xdr:nvPicPr>
        <xdr:cNvPr id="17" name="Picture 16" descr="https://www.tcdb.com/Images/Thumbs/Basketball/25550/25550_2990244Thumb2.jpg">
          <a:extLst>
            <a:ext uri="{FF2B5EF4-FFF2-40B4-BE49-F238E27FC236}">
              <a16:creationId xmlns:a16="http://schemas.microsoft.com/office/drawing/2014/main" id="{CEDCD033-5968-49F8-A530-7AD0C74C9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05300" y="3295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9</xdr:row>
      <xdr:rowOff>0</xdr:rowOff>
    </xdr:from>
    <xdr:ext cx="1009650" cy="1428750"/>
    <xdr:pic>
      <xdr:nvPicPr>
        <xdr:cNvPr id="18" name="Picture 17" descr="https://www.tcdb.com/Images/Thumbs/Basketball/25550/25550_2990453Thumb2.jpg">
          <a:extLst>
            <a:ext uri="{FF2B5EF4-FFF2-40B4-BE49-F238E27FC236}">
              <a16:creationId xmlns:a16="http://schemas.microsoft.com/office/drawing/2014/main" id="{20B97E2E-C69D-4AA4-A531-E82ECE57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05300" y="6724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22</xdr:row>
      <xdr:rowOff>0</xdr:rowOff>
    </xdr:from>
    <xdr:ext cx="1009650" cy="1428750"/>
    <xdr:pic>
      <xdr:nvPicPr>
        <xdr:cNvPr id="19" name="Picture 18" descr="https://www.tcdb.com/Images/Thumbs/Multi-Sport/61415/61415_10069285Thumb2.jpg">
          <a:extLst>
            <a:ext uri="{FF2B5EF4-FFF2-40B4-BE49-F238E27FC236}">
              <a16:creationId xmlns:a16="http://schemas.microsoft.com/office/drawing/2014/main" id="{303EC67F-4553-40B3-9F40-F4880E65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29013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6</xdr:row>
      <xdr:rowOff>17318</xdr:rowOff>
    </xdr:from>
    <xdr:ext cx="1025525" cy="1428750"/>
    <xdr:pic>
      <xdr:nvPicPr>
        <xdr:cNvPr id="20" name="Picture 19" descr="https://www.tcdb.com/Images/Thumbs/Basketball/2116/2116_671372RepThumb2.jpg">
          <a:extLst>
            <a:ext uri="{FF2B5EF4-FFF2-40B4-BE49-F238E27FC236}">
              <a16:creationId xmlns:a16="http://schemas.microsoft.com/office/drawing/2014/main" id="{A0134ECC-E5D2-4260-89B8-F033A4D3A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1598468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7</xdr:row>
      <xdr:rowOff>0</xdr:rowOff>
    </xdr:from>
    <xdr:ext cx="1028700" cy="1428750"/>
    <xdr:pic>
      <xdr:nvPicPr>
        <xdr:cNvPr id="21" name="Picture 20" descr="https://www.tcdb.com/Images/Thumbs/Basketball/25552/25552_2991119Thumb2.jpg">
          <a:extLst>
            <a:ext uri="{FF2B5EF4-FFF2-40B4-BE49-F238E27FC236}">
              <a16:creationId xmlns:a16="http://schemas.microsoft.com/office/drawing/2014/main" id="{78D7C3F1-E58D-449C-9C82-9BB5D8A80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3295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6</xdr:row>
      <xdr:rowOff>0</xdr:rowOff>
    </xdr:from>
    <xdr:ext cx="1009650" cy="1428750"/>
    <xdr:pic>
      <xdr:nvPicPr>
        <xdr:cNvPr id="22" name="Picture 21" descr="https://www.tcdb.com/Images/Thumbs/Basketball/2177/2177_23Thumb2.jpg">
          <a:extLst>
            <a:ext uri="{FF2B5EF4-FFF2-40B4-BE49-F238E27FC236}">
              <a16:creationId xmlns:a16="http://schemas.microsoft.com/office/drawing/2014/main" id="{329AE54F-6689-4558-A0EF-828D3A1F8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1581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8</xdr:row>
      <xdr:rowOff>0</xdr:rowOff>
    </xdr:from>
    <xdr:ext cx="1025525" cy="1428750"/>
    <xdr:pic>
      <xdr:nvPicPr>
        <xdr:cNvPr id="23" name="Picture 22" descr="https://www.tcdb.com/Images/Thumbs/Basketball/2177/2177_675334RepThumb2.jpg">
          <a:extLst>
            <a:ext uri="{FF2B5EF4-FFF2-40B4-BE49-F238E27FC236}">
              <a16:creationId xmlns:a16="http://schemas.microsoft.com/office/drawing/2014/main" id="{313E975A-52C9-4C84-91F6-3841B958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5010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10</xdr:row>
      <xdr:rowOff>0</xdr:rowOff>
    </xdr:from>
    <xdr:ext cx="1025525" cy="1428750"/>
    <xdr:pic>
      <xdr:nvPicPr>
        <xdr:cNvPr id="24" name="Picture 23" descr="https://www.tcdb.com/Images/Thumbs/Basketball/2177/2177_675371RepThumb2.jpg">
          <a:extLst>
            <a:ext uri="{FF2B5EF4-FFF2-40B4-BE49-F238E27FC236}">
              <a16:creationId xmlns:a16="http://schemas.microsoft.com/office/drawing/2014/main" id="{E4D3C4FC-415B-4E3B-AEB6-535F7C58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8439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12</xdr:row>
      <xdr:rowOff>0</xdr:rowOff>
    </xdr:from>
    <xdr:ext cx="1025525" cy="1428750"/>
    <xdr:pic>
      <xdr:nvPicPr>
        <xdr:cNvPr id="25" name="Picture 24" descr="https://www.tcdb.com/Images/Thumbs/Basketball/2177/2177_199Thumb2.jpg">
          <a:extLst>
            <a:ext uri="{FF2B5EF4-FFF2-40B4-BE49-F238E27FC236}">
              <a16:creationId xmlns:a16="http://schemas.microsoft.com/office/drawing/2014/main" id="{B6E01250-20AD-4062-B69D-42B1A5951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11868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14</xdr:row>
      <xdr:rowOff>0</xdr:rowOff>
    </xdr:from>
    <xdr:ext cx="1025525" cy="1428750"/>
    <xdr:pic>
      <xdr:nvPicPr>
        <xdr:cNvPr id="26" name="Picture 25" descr="https://www.tcdb.com/Images/Thumbs/Basketball/2177/2177_384Thumb2.jpg">
          <a:extLst>
            <a:ext uri="{FF2B5EF4-FFF2-40B4-BE49-F238E27FC236}">
              <a16:creationId xmlns:a16="http://schemas.microsoft.com/office/drawing/2014/main" id="{97499269-9F33-4729-A53B-AC07C326B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15297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7</xdr:row>
      <xdr:rowOff>0</xdr:rowOff>
    </xdr:from>
    <xdr:ext cx="1044575" cy="1428750"/>
    <xdr:pic>
      <xdr:nvPicPr>
        <xdr:cNvPr id="27" name="Picture 26" descr="https://www.tcdb.com/Images/Thumbs/Basketball/25577/25577_2993997Thumb2.jpg">
          <a:extLst>
            <a:ext uri="{FF2B5EF4-FFF2-40B4-BE49-F238E27FC236}">
              <a16:creationId xmlns:a16="http://schemas.microsoft.com/office/drawing/2014/main" id="{34803BD3-91C3-47B7-A285-EF0E1F348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3295650"/>
          <a:ext cx="10445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9</xdr:row>
      <xdr:rowOff>0</xdr:rowOff>
    </xdr:from>
    <xdr:ext cx="1025525" cy="1428750"/>
    <xdr:pic>
      <xdr:nvPicPr>
        <xdr:cNvPr id="28" name="Picture 27" descr="https://www.tcdb.com/Images/Thumbs/Basketball/25577/25577_2994038Thumb2.jpg">
          <a:extLst>
            <a:ext uri="{FF2B5EF4-FFF2-40B4-BE49-F238E27FC236}">
              <a16:creationId xmlns:a16="http://schemas.microsoft.com/office/drawing/2014/main" id="{699E6AE3-F33D-4A8A-ADF2-285218E1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6724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11</xdr:row>
      <xdr:rowOff>0</xdr:rowOff>
    </xdr:from>
    <xdr:ext cx="1025525" cy="1428750"/>
    <xdr:pic>
      <xdr:nvPicPr>
        <xdr:cNvPr id="29" name="Picture 28" descr="https://www.tcdb.com/Images/Thumbs/Basketball/25577/25577_2994075Thumb2.jpg">
          <a:extLst>
            <a:ext uri="{FF2B5EF4-FFF2-40B4-BE49-F238E27FC236}">
              <a16:creationId xmlns:a16="http://schemas.microsoft.com/office/drawing/2014/main" id="{60AC84DF-423F-4E8E-A14D-7CA878C0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10153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13</xdr:row>
      <xdr:rowOff>0</xdr:rowOff>
    </xdr:from>
    <xdr:ext cx="1025525" cy="1428750"/>
    <xdr:pic>
      <xdr:nvPicPr>
        <xdr:cNvPr id="30" name="Picture 29" descr="https://www.tcdb.com/Images/Thumbs/Basketball/25577/25577_2994173Thumb2.jpg">
          <a:extLst>
            <a:ext uri="{FF2B5EF4-FFF2-40B4-BE49-F238E27FC236}">
              <a16:creationId xmlns:a16="http://schemas.microsoft.com/office/drawing/2014/main" id="{6C01C7F9-C1E3-44D7-B607-6FAF23DF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13582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15</xdr:row>
      <xdr:rowOff>0</xdr:rowOff>
    </xdr:from>
    <xdr:ext cx="1025525" cy="1428750"/>
    <xdr:pic>
      <xdr:nvPicPr>
        <xdr:cNvPr id="31" name="Picture 30" descr="https://www.tcdb.com/Images/Thumbs/Basketball/25577/25577_2994358RepThumb2.jpg">
          <a:extLst>
            <a:ext uri="{FF2B5EF4-FFF2-40B4-BE49-F238E27FC236}">
              <a16:creationId xmlns:a16="http://schemas.microsoft.com/office/drawing/2014/main" id="{11B0B1DE-67A5-4F88-9B75-4B982562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9450" y="17011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7</xdr:row>
      <xdr:rowOff>0</xdr:rowOff>
    </xdr:from>
    <xdr:ext cx="1009650" cy="1428750"/>
    <xdr:pic>
      <xdr:nvPicPr>
        <xdr:cNvPr id="32" name="Picture 31" descr="https://www.tcdb.com/Images/Thumbs/Basketball/2172/2172_1Thumb2.jpg">
          <a:extLst>
            <a:ext uri="{FF2B5EF4-FFF2-40B4-BE49-F238E27FC236}">
              <a16:creationId xmlns:a16="http://schemas.microsoft.com/office/drawing/2014/main" id="{0F80CFE3-9150-43F2-81D0-8DD9E046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8439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11</xdr:row>
      <xdr:rowOff>0</xdr:rowOff>
    </xdr:from>
    <xdr:ext cx="1006475" cy="1428750"/>
    <xdr:pic>
      <xdr:nvPicPr>
        <xdr:cNvPr id="33" name="Picture 32" descr="https://www.tcdb.com/Images/Thumbs/Basketball/2172/2172_169Thumb2.jpg">
          <a:extLst>
            <a:ext uri="{FF2B5EF4-FFF2-40B4-BE49-F238E27FC236}">
              <a16:creationId xmlns:a16="http://schemas.microsoft.com/office/drawing/2014/main" id="{827DC9B3-F898-453F-B9F0-E3E0D12E8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15811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15</xdr:row>
      <xdr:rowOff>0</xdr:rowOff>
    </xdr:from>
    <xdr:ext cx="1025525" cy="1428750"/>
    <xdr:pic>
      <xdr:nvPicPr>
        <xdr:cNvPr id="34" name="Picture 33" descr="https://www.tcdb.com/Images/Thumbs/Basketball/2172/2172_181Thumb2.jpg">
          <a:extLst>
            <a:ext uri="{FF2B5EF4-FFF2-40B4-BE49-F238E27FC236}">
              <a16:creationId xmlns:a16="http://schemas.microsoft.com/office/drawing/2014/main" id="{D1EDF24C-A741-4E19-9AD0-34AEBEC8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15297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8</xdr:row>
      <xdr:rowOff>0</xdr:rowOff>
    </xdr:from>
    <xdr:ext cx="1028700" cy="1428750"/>
    <xdr:pic>
      <xdr:nvPicPr>
        <xdr:cNvPr id="35" name="Picture 34" descr="https://www.tcdb.com/Images/Thumbs/Basketball/25576/25576_1Thumb2.jpg">
          <a:extLst>
            <a:ext uri="{FF2B5EF4-FFF2-40B4-BE49-F238E27FC236}">
              <a16:creationId xmlns:a16="http://schemas.microsoft.com/office/drawing/2014/main" id="{DEB83D37-5CA8-4971-8922-E20887B8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10153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12</xdr:row>
      <xdr:rowOff>0</xdr:rowOff>
    </xdr:from>
    <xdr:ext cx="1028700" cy="1428750"/>
    <xdr:pic>
      <xdr:nvPicPr>
        <xdr:cNvPr id="36" name="Picture 35" descr="https://www.tcdb.com/Images/Thumbs/Basketball/25576/25576_169Thumb2.jpg">
          <a:extLst>
            <a:ext uri="{FF2B5EF4-FFF2-40B4-BE49-F238E27FC236}">
              <a16:creationId xmlns:a16="http://schemas.microsoft.com/office/drawing/2014/main" id="{F91234B6-E9DD-41AA-A38D-CFE620F5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3295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16</xdr:row>
      <xdr:rowOff>0</xdr:rowOff>
    </xdr:from>
    <xdr:ext cx="1025525" cy="1428750"/>
    <xdr:pic>
      <xdr:nvPicPr>
        <xdr:cNvPr id="37" name="Picture 36" descr="https://www.tcdb.com/Images/Thumbs/Basketball/25576/25576_181Thumb2.jpg">
          <a:extLst>
            <a:ext uri="{FF2B5EF4-FFF2-40B4-BE49-F238E27FC236}">
              <a16:creationId xmlns:a16="http://schemas.microsoft.com/office/drawing/2014/main" id="{DC35AAD2-4551-40C7-AD22-0072AE04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17011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9</xdr:row>
      <xdr:rowOff>0</xdr:rowOff>
    </xdr:from>
    <xdr:ext cx="1025525" cy="1428750"/>
    <xdr:pic>
      <xdr:nvPicPr>
        <xdr:cNvPr id="38" name="Picture 37" descr="https://www.tcdb.com/Images/Thumbs/Basketball/2174/2174_2993136Thumb2.jpg">
          <a:extLst>
            <a:ext uri="{FF2B5EF4-FFF2-40B4-BE49-F238E27FC236}">
              <a16:creationId xmlns:a16="http://schemas.microsoft.com/office/drawing/2014/main" id="{A1813059-C503-480B-9DB8-D16A87E26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11868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13</xdr:row>
      <xdr:rowOff>0</xdr:rowOff>
    </xdr:from>
    <xdr:ext cx="1025525" cy="1428750"/>
    <xdr:pic>
      <xdr:nvPicPr>
        <xdr:cNvPr id="39" name="Picture 38" descr="https://www.tcdb.com/Images/Thumbs/Basketball/2174/2174_2993304Thumb2.jpg">
          <a:extLst>
            <a:ext uri="{FF2B5EF4-FFF2-40B4-BE49-F238E27FC236}">
              <a16:creationId xmlns:a16="http://schemas.microsoft.com/office/drawing/2014/main" id="{9BC15722-958B-49E7-993B-60100B1CE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5010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17</xdr:row>
      <xdr:rowOff>0</xdr:rowOff>
    </xdr:from>
    <xdr:ext cx="1025525" cy="1428750"/>
    <xdr:pic>
      <xdr:nvPicPr>
        <xdr:cNvPr id="40" name="Picture 39" descr="https://www.tcdb.com/Images/Thumbs/Basketball/2174/2174_2993316Thumb2.jpg">
          <a:extLst>
            <a:ext uri="{FF2B5EF4-FFF2-40B4-BE49-F238E27FC236}">
              <a16:creationId xmlns:a16="http://schemas.microsoft.com/office/drawing/2014/main" id="{9EC394EB-A7C6-40B1-BE5A-B0FF3FE6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18726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14</xdr:row>
      <xdr:rowOff>0</xdr:rowOff>
    </xdr:from>
    <xdr:ext cx="1009650" cy="1428750"/>
    <xdr:pic>
      <xdr:nvPicPr>
        <xdr:cNvPr id="41" name="Picture 40" descr="https://www.tcdb.com/Images/Thumbs/Basketball/25573/25573_8802424Thumb2.jpg">
          <a:extLst>
            <a:ext uri="{FF2B5EF4-FFF2-40B4-BE49-F238E27FC236}">
              <a16:creationId xmlns:a16="http://schemas.microsoft.com/office/drawing/2014/main" id="{EFFC915F-42B1-45C7-95CC-75533524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6724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18</xdr:row>
      <xdr:rowOff>0</xdr:rowOff>
    </xdr:from>
    <xdr:ext cx="1006475" cy="1428750"/>
    <xdr:pic>
      <xdr:nvPicPr>
        <xdr:cNvPr id="42" name="Picture 41" descr="https://www.tcdb.com/Images/Thumbs/Basketball/25573/25573_8802436Thumb2.jpg">
          <a:extLst>
            <a:ext uri="{FF2B5EF4-FFF2-40B4-BE49-F238E27FC236}">
              <a16:creationId xmlns:a16="http://schemas.microsoft.com/office/drawing/2014/main" id="{4A541173-FA2D-4B39-9659-2B111B36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204406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10</xdr:row>
      <xdr:rowOff>0</xdr:rowOff>
    </xdr:from>
    <xdr:ext cx="1009650" cy="1428750"/>
    <xdr:pic>
      <xdr:nvPicPr>
        <xdr:cNvPr id="43" name="Picture 42" descr="https://www.tcdb.com/Images/Thumbs/Basketball/25573/25573_8802256Thumb2.jpg">
          <a:extLst>
            <a:ext uri="{FF2B5EF4-FFF2-40B4-BE49-F238E27FC236}">
              <a16:creationId xmlns:a16="http://schemas.microsoft.com/office/drawing/2014/main" id="{C9C531F4-3FEF-45A8-9D06-54E7BD68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3600" y="13582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6</xdr:row>
      <xdr:rowOff>0</xdr:rowOff>
    </xdr:from>
    <xdr:ext cx="1009650" cy="1428750"/>
    <xdr:pic>
      <xdr:nvPicPr>
        <xdr:cNvPr id="44" name="Picture 43" descr="https://www.tcdb.com/Images/Thumbs/Basketball/2139/2139_1Thumb2.jpg">
          <a:extLst>
            <a:ext uri="{FF2B5EF4-FFF2-40B4-BE49-F238E27FC236}">
              <a16:creationId xmlns:a16="http://schemas.microsoft.com/office/drawing/2014/main" id="{7803F308-1021-426D-870C-F1258879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7750" y="1581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7</xdr:row>
      <xdr:rowOff>0</xdr:rowOff>
    </xdr:from>
    <xdr:ext cx="1006475" cy="1428750"/>
    <xdr:pic>
      <xdr:nvPicPr>
        <xdr:cNvPr id="45" name="Picture 44" descr="https://www.tcdb.com/Images/Thumbs/Basketball/2141/2141_672946RepThumb2.jpg">
          <a:extLst>
            <a:ext uri="{FF2B5EF4-FFF2-40B4-BE49-F238E27FC236}">
              <a16:creationId xmlns:a16="http://schemas.microsoft.com/office/drawing/2014/main" id="{E950E415-744D-470E-97E1-0D34D9E53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7750" y="32956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6</xdr:row>
      <xdr:rowOff>0</xdr:rowOff>
    </xdr:from>
    <xdr:ext cx="1025525" cy="1428750"/>
    <xdr:pic>
      <xdr:nvPicPr>
        <xdr:cNvPr id="46" name="Picture 45" descr="https://www.tcdb.com/Images/Thumbs/Basketball/2216/2216_121Thumb2.jpg">
          <a:extLst>
            <a:ext uri="{FF2B5EF4-FFF2-40B4-BE49-F238E27FC236}">
              <a16:creationId xmlns:a16="http://schemas.microsoft.com/office/drawing/2014/main" id="{B8D5327A-5B43-4597-8C31-89C40B1B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1900" y="1581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7</xdr:row>
      <xdr:rowOff>0</xdr:rowOff>
    </xdr:from>
    <xdr:ext cx="1006475" cy="1428750"/>
    <xdr:pic>
      <xdr:nvPicPr>
        <xdr:cNvPr id="47" name="Picture 46" descr="https://www.tcdb.com/Images/Thumbs/Basketball/62681/62681_121Thumb2.jpg">
          <a:extLst>
            <a:ext uri="{FF2B5EF4-FFF2-40B4-BE49-F238E27FC236}">
              <a16:creationId xmlns:a16="http://schemas.microsoft.com/office/drawing/2014/main" id="{9CC785D4-1E46-4A54-AEA0-40703BEC1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1900" y="32956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6</xdr:row>
      <xdr:rowOff>0</xdr:rowOff>
    </xdr:from>
    <xdr:ext cx="1009650" cy="1428750"/>
    <xdr:pic>
      <xdr:nvPicPr>
        <xdr:cNvPr id="48" name="Picture 47" descr="https://www.tcdb.com/Images/Thumbs/Basketball/2220/2220_331Thumb2.jpg">
          <a:extLst>
            <a:ext uri="{FF2B5EF4-FFF2-40B4-BE49-F238E27FC236}">
              <a16:creationId xmlns:a16="http://schemas.microsoft.com/office/drawing/2014/main" id="{654A6848-F78B-4A36-9217-2C325C23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30200" y="1581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7</xdr:row>
      <xdr:rowOff>0</xdr:rowOff>
    </xdr:from>
    <xdr:ext cx="1025525" cy="1428750"/>
    <xdr:pic>
      <xdr:nvPicPr>
        <xdr:cNvPr id="49" name="Picture 48" descr="https://www.tcdb.com/Images/Thumbs/Basketball/2226/2226_678326RepThumb2.jpg">
          <a:extLst>
            <a:ext uri="{FF2B5EF4-FFF2-40B4-BE49-F238E27FC236}">
              <a16:creationId xmlns:a16="http://schemas.microsoft.com/office/drawing/2014/main" id="{8FF3B344-7F08-4227-AD1D-6F20E511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30200" y="3295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6</xdr:row>
      <xdr:rowOff>0</xdr:rowOff>
    </xdr:from>
    <xdr:ext cx="1009650" cy="1428750"/>
    <xdr:pic>
      <xdr:nvPicPr>
        <xdr:cNvPr id="50" name="Picture 49" descr="https://www.tcdb.com/Images/Thumbs/Basketball/25597/25597_2999680Thumb2.jpg">
          <a:extLst>
            <a:ext uri="{FF2B5EF4-FFF2-40B4-BE49-F238E27FC236}">
              <a16:creationId xmlns:a16="http://schemas.microsoft.com/office/drawing/2014/main" id="{D468D4F8-E327-4281-8737-D48A0EC3D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26050" y="1581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8</xdr:row>
      <xdr:rowOff>0</xdr:rowOff>
    </xdr:from>
    <xdr:ext cx="1028700" cy="1428750"/>
    <xdr:pic>
      <xdr:nvPicPr>
        <xdr:cNvPr id="51" name="Picture 50" descr="https://www.tcdb.com/Images/Thumbs/Basketball/2420/2420_1Thumb2.jpg">
          <a:extLst>
            <a:ext uri="{FF2B5EF4-FFF2-40B4-BE49-F238E27FC236}">
              <a16:creationId xmlns:a16="http://schemas.microsoft.com/office/drawing/2014/main" id="{C80C3778-25E4-41D7-B61D-6EEAF865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5010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10</xdr:row>
      <xdr:rowOff>0</xdr:rowOff>
    </xdr:from>
    <xdr:ext cx="1025525" cy="1428750"/>
    <xdr:pic>
      <xdr:nvPicPr>
        <xdr:cNvPr id="52" name="Picture 51" descr="https://www.tcdb.com/Images/Thumbs/Basketball/2420/2420_686764Thumb2.jpg">
          <a:extLst>
            <a:ext uri="{FF2B5EF4-FFF2-40B4-BE49-F238E27FC236}">
              <a16:creationId xmlns:a16="http://schemas.microsoft.com/office/drawing/2014/main" id="{3F93888C-5EB3-4204-8A54-572A0A3E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8439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6</xdr:row>
      <xdr:rowOff>0</xdr:rowOff>
    </xdr:from>
    <xdr:ext cx="1025525" cy="1428750"/>
    <xdr:pic>
      <xdr:nvPicPr>
        <xdr:cNvPr id="53" name="Picture 52" descr="https://www.tcdb.com/Images/Thumbs/Basketball/2420/2420_277Thumb2.jpg">
          <a:extLst>
            <a:ext uri="{FF2B5EF4-FFF2-40B4-BE49-F238E27FC236}">
              <a16:creationId xmlns:a16="http://schemas.microsoft.com/office/drawing/2014/main" id="{8E9C01EE-386F-4CA5-AE0B-96537293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1581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12</xdr:row>
      <xdr:rowOff>0</xdr:rowOff>
    </xdr:from>
    <xdr:ext cx="1009650" cy="1428750"/>
    <xdr:pic>
      <xdr:nvPicPr>
        <xdr:cNvPr id="54" name="Picture 53" descr="https://www.tcdb.com/Images/Thumbs/Basketball/2426/2426_3005434Thumb2.jpg">
          <a:extLst>
            <a:ext uri="{FF2B5EF4-FFF2-40B4-BE49-F238E27FC236}">
              <a16:creationId xmlns:a16="http://schemas.microsoft.com/office/drawing/2014/main" id="{C4B66307-7150-4FAC-8ED5-D9FF690B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11868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13</xdr:row>
      <xdr:rowOff>0</xdr:rowOff>
    </xdr:from>
    <xdr:ext cx="1025525" cy="1428750"/>
    <xdr:pic>
      <xdr:nvPicPr>
        <xdr:cNvPr id="55" name="Picture 54" descr="https://www.tcdb.com/Images/Thumbs/Basketball/25639/25639_3005456Thumb2.jpg">
          <a:extLst>
            <a:ext uri="{FF2B5EF4-FFF2-40B4-BE49-F238E27FC236}">
              <a16:creationId xmlns:a16="http://schemas.microsoft.com/office/drawing/2014/main" id="{52DBF21F-967E-4C45-9BB5-13E8E7EB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13582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9</xdr:row>
      <xdr:rowOff>0</xdr:rowOff>
    </xdr:from>
    <xdr:ext cx="1028700" cy="1428750"/>
    <xdr:pic>
      <xdr:nvPicPr>
        <xdr:cNvPr id="56" name="Picture 55" descr="https://www.tcdb.com/Images/Thumbs/Basketball/2428/2428_3005493Thumb2.jpg">
          <a:extLst>
            <a:ext uri="{FF2B5EF4-FFF2-40B4-BE49-F238E27FC236}">
              <a16:creationId xmlns:a16="http://schemas.microsoft.com/office/drawing/2014/main" id="{1A84AEB9-599A-404E-95AB-1333762E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6724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11</xdr:row>
      <xdr:rowOff>0</xdr:rowOff>
    </xdr:from>
    <xdr:ext cx="1028700" cy="1428750"/>
    <xdr:pic>
      <xdr:nvPicPr>
        <xdr:cNvPr id="57" name="Picture 56" descr="https://www.tcdb.com/Images/Thumbs/Basketball/2428/2428_3005496Thumb2.jpg">
          <a:extLst>
            <a:ext uri="{FF2B5EF4-FFF2-40B4-BE49-F238E27FC236}">
              <a16:creationId xmlns:a16="http://schemas.microsoft.com/office/drawing/2014/main" id="{2BA9A518-259E-4D33-B701-604BD5259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10153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7</xdr:row>
      <xdr:rowOff>0</xdr:rowOff>
    </xdr:from>
    <xdr:ext cx="1028700" cy="1428750"/>
    <xdr:pic>
      <xdr:nvPicPr>
        <xdr:cNvPr id="58" name="Picture 57" descr="https://www.tcdb.com/Images/Thumbs/Basketball/2428/2428_3005524Thumb2.jpg">
          <a:extLst>
            <a:ext uri="{FF2B5EF4-FFF2-40B4-BE49-F238E27FC236}">
              <a16:creationId xmlns:a16="http://schemas.microsoft.com/office/drawing/2014/main" id="{3F4B6626-5878-47C5-A0AE-89E47CEB3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3295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14</xdr:row>
      <xdr:rowOff>0</xdr:rowOff>
    </xdr:from>
    <xdr:ext cx="1028700" cy="1428750"/>
    <xdr:pic>
      <xdr:nvPicPr>
        <xdr:cNvPr id="59" name="Picture 58" descr="https://www.tcdb.com/Images/Thumbs/Basketball/2430/2430_3005548Thumb2.jpg">
          <a:extLst>
            <a:ext uri="{FF2B5EF4-FFF2-40B4-BE49-F238E27FC236}">
              <a16:creationId xmlns:a16="http://schemas.microsoft.com/office/drawing/2014/main" id="{13A1227D-B31C-4F96-B348-967E512C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15297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15</xdr:row>
      <xdr:rowOff>0</xdr:rowOff>
    </xdr:from>
    <xdr:ext cx="1009650" cy="1428750"/>
    <xdr:pic>
      <xdr:nvPicPr>
        <xdr:cNvPr id="60" name="Picture 59" descr="https://www.tcdb.com/Images/Thumbs/Basketball/2431/2431_3005559Thumb2.jpg">
          <a:extLst>
            <a:ext uri="{FF2B5EF4-FFF2-40B4-BE49-F238E27FC236}">
              <a16:creationId xmlns:a16="http://schemas.microsoft.com/office/drawing/2014/main" id="{867BF0FD-194B-458D-BE11-61720616B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17011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16</xdr:row>
      <xdr:rowOff>0</xdr:rowOff>
    </xdr:from>
    <xdr:ext cx="1028700" cy="1428750"/>
    <xdr:pic>
      <xdr:nvPicPr>
        <xdr:cNvPr id="61" name="Picture 60" descr="https://www.tcdb.com/Images/Thumbs/Basketball/2433/2433_TF1Thumb2.jpg">
          <a:extLst>
            <a:ext uri="{FF2B5EF4-FFF2-40B4-BE49-F238E27FC236}">
              <a16:creationId xmlns:a16="http://schemas.microsoft.com/office/drawing/2014/main" id="{63BCC45B-3513-45A0-B334-17EEF515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0" y="18726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11484</xdr:colOff>
      <xdr:row>17</xdr:row>
      <xdr:rowOff>12020</xdr:rowOff>
    </xdr:from>
    <xdr:ext cx="1038225" cy="1440090"/>
    <xdr:pic>
      <xdr:nvPicPr>
        <xdr:cNvPr id="62" name="Picture 61" descr="https://www.tcdb.com/Images/Thumbs/Basketball/25640/25640_3005610Thumb2.jpg">
          <a:extLst>
            <a:ext uri="{FF2B5EF4-FFF2-40B4-BE49-F238E27FC236}">
              <a16:creationId xmlns:a16="http://schemas.microsoft.com/office/drawing/2014/main" id="{A5960D20-23CE-4953-96F9-A8B4BCDA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4148077" y="20656777"/>
          <a:ext cx="144009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6</xdr:row>
      <xdr:rowOff>0</xdr:rowOff>
    </xdr:from>
    <xdr:ext cx="1006475" cy="1428750"/>
    <xdr:pic>
      <xdr:nvPicPr>
        <xdr:cNvPr id="63" name="Picture 62" descr="https://www.tcdb.com/Images/Thumbs/Basketball/2328/2328_683649Thumb2.jpg">
          <a:extLst>
            <a:ext uri="{FF2B5EF4-FFF2-40B4-BE49-F238E27FC236}">
              <a16:creationId xmlns:a16="http://schemas.microsoft.com/office/drawing/2014/main" id="{4DE677EE-6503-4561-B4B0-46A8499C0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" y="15811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8</xdr:row>
      <xdr:rowOff>0</xdr:rowOff>
    </xdr:from>
    <xdr:ext cx="1025525" cy="1428750"/>
    <xdr:pic>
      <xdr:nvPicPr>
        <xdr:cNvPr id="64" name="Picture 63" descr="https://www.tcdb.com/Images/Thumbs/Basketball/2329/2329_3003331Thumb2.jpg">
          <a:extLst>
            <a:ext uri="{FF2B5EF4-FFF2-40B4-BE49-F238E27FC236}">
              <a16:creationId xmlns:a16="http://schemas.microsoft.com/office/drawing/2014/main" id="{23F73AAB-720E-4A0D-988A-7E33B448A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" y="5010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9</xdr:row>
      <xdr:rowOff>0</xdr:rowOff>
    </xdr:from>
    <xdr:ext cx="1028700" cy="1428750"/>
    <xdr:pic>
      <xdr:nvPicPr>
        <xdr:cNvPr id="65" name="Picture 64" descr="https://www.tcdb.com/Images/Thumbs/Basketball/2330/2330_780621Thumb2.jpg">
          <a:extLst>
            <a:ext uri="{FF2B5EF4-FFF2-40B4-BE49-F238E27FC236}">
              <a16:creationId xmlns:a16="http://schemas.microsoft.com/office/drawing/2014/main" id="{66D70F32-209D-4C37-AE54-867D32849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" y="6724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11</xdr:row>
      <xdr:rowOff>0</xdr:rowOff>
    </xdr:from>
    <xdr:ext cx="1025525" cy="1428750"/>
    <xdr:pic>
      <xdr:nvPicPr>
        <xdr:cNvPr id="66" name="Picture 65" descr="https://www.tcdb.com/Images/Thumbs/Basketball/2331/2331_M1Thumb2.jpg">
          <a:extLst>
            <a:ext uri="{FF2B5EF4-FFF2-40B4-BE49-F238E27FC236}">
              <a16:creationId xmlns:a16="http://schemas.microsoft.com/office/drawing/2014/main" id="{BF7BA535-F1E0-4E9D-9ECD-5634BF95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" y="10153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14</xdr:row>
      <xdr:rowOff>0</xdr:rowOff>
    </xdr:from>
    <xdr:ext cx="1028700" cy="1428750"/>
    <xdr:pic>
      <xdr:nvPicPr>
        <xdr:cNvPr id="67" name="Picture 66" descr="https://www.tcdb.com/Images/Thumbs/Basketball/2332/2332_3003445Thumb2.jpg">
          <a:extLst>
            <a:ext uri="{FF2B5EF4-FFF2-40B4-BE49-F238E27FC236}">
              <a16:creationId xmlns:a16="http://schemas.microsoft.com/office/drawing/2014/main" id="{2CFA67DC-3A68-41D9-B80E-6A5E3195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" y="15297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13</xdr:row>
      <xdr:rowOff>0</xdr:rowOff>
    </xdr:from>
    <xdr:ext cx="1009650" cy="1428750"/>
    <xdr:pic>
      <xdr:nvPicPr>
        <xdr:cNvPr id="68" name="Picture 67" descr="https://www.tcdb.com/Images/Thumbs/Basketball/25624/25624_M1Thumb2.jpg">
          <a:extLst>
            <a:ext uri="{FF2B5EF4-FFF2-40B4-BE49-F238E27FC236}">
              <a16:creationId xmlns:a16="http://schemas.microsoft.com/office/drawing/2014/main" id="{8FEEDDA0-C5EF-4A21-8495-B1BCA6E7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" y="13582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12</xdr:row>
      <xdr:rowOff>0</xdr:rowOff>
    </xdr:from>
    <xdr:ext cx="1006475" cy="1428750"/>
    <xdr:pic>
      <xdr:nvPicPr>
        <xdr:cNvPr id="69" name="Picture 68" descr="https://www.tcdb.com/Images/Thumbs/Basketball/199679/199679_12764648RepThumb2.jpg">
          <a:extLst>
            <a:ext uri="{FF2B5EF4-FFF2-40B4-BE49-F238E27FC236}">
              <a16:creationId xmlns:a16="http://schemas.microsoft.com/office/drawing/2014/main" id="{074F2E71-3B89-4674-8395-EABC9980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" y="118681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7</xdr:row>
      <xdr:rowOff>0</xdr:rowOff>
    </xdr:from>
    <xdr:ext cx="1009650" cy="1428750"/>
    <xdr:pic>
      <xdr:nvPicPr>
        <xdr:cNvPr id="70" name="Picture 69" descr="https://www.tcdb.com/Images/Thumbs/Basketball/2334/2334_683919Thumb2.jpg">
          <a:extLst>
            <a:ext uri="{FF2B5EF4-FFF2-40B4-BE49-F238E27FC236}">
              <a16:creationId xmlns:a16="http://schemas.microsoft.com/office/drawing/2014/main" id="{CC0A78E4-55E1-4E11-806B-C9D1F7D4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" y="3295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10</xdr:row>
      <xdr:rowOff>0</xdr:rowOff>
    </xdr:from>
    <xdr:ext cx="1025525" cy="1428750"/>
    <xdr:pic>
      <xdr:nvPicPr>
        <xdr:cNvPr id="71" name="Picture 70" descr="https://www.tcdb.com/Images/Thumbs/Basketball/2335/2335_3003515Thumb2.jpg">
          <a:extLst>
            <a:ext uri="{FF2B5EF4-FFF2-40B4-BE49-F238E27FC236}">
              <a16:creationId xmlns:a16="http://schemas.microsoft.com/office/drawing/2014/main" id="{A8B065F1-0BD3-4202-9B1F-899D5E54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" y="8439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6</xdr:row>
      <xdr:rowOff>0</xdr:rowOff>
    </xdr:from>
    <xdr:ext cx="990600" cy="1428750"/>
    <xdr:pic>
      <xdr:nvPicPr>
        <xdr:cNvPr id="72" name="Picture 71" descr="https://www.tcdb.com/Images/Thumbs/Basketball/2410/2410_1Thumb2.jpg">
          <a:extLst>
            <a:ext uri="{FF2B5EF4-FFF2-40B4-BE49-F238E27FC236}">
              <a16:creationId xmlns:a16="http://schemas.microsoft.com/office/drawing/2014/main" id="{C7A947AF-2453-4EA2-9363-DE0563EF2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8500" y="1581150"/>
          <a:ext cx="9906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10</xdr:row>
      <xdr:rowOff>0</xdr:rowOff>
    </xdr:from>
    <xdr:ext cx="1025525" cy="1428750"/>
    <xdr:pic>
      <xdr:nvPicPr>
        <xdr:cNvPr id="73" name="Picture 72" descr="https://www.tcdb.com/Images/Thumbs/Basketball/2411/2411_3004708Thumb2.jpg">
          <a:extLst>
            <a:ext uri="{FF2B5EF4-FFF2-40B4-BE49-F238E27FC236}">
              <a16:creationId xmlns:a16="http://schemas.microsoft.com/office/drawing/2014/main" id="{AD156B86-8D5B-4540-8746-D05C7FC86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8500" y="8439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12</xdr:row>
      <xdr:rowOff>0</xdr:rowOff>
    </xdr:from>
    <xdr:ext cx="1025525" cy="1428750"/>
    <xdr:pic>
      <xdr:nvPicPr>
        <xdr:cNvPr id="74" name="Picture 73" descr="https://www.tcdb.com/Images/Thumbs/Basketball/2415/2415_3005343Thumb2.jpg">
          <a:extLst>
            <a:ext uri="{FF2B5EF4-FFF2-40B4-BE49-F238E27FC236}">
              <a16:creationId xmlns:a16="http://schemas.microsoft.com/office/drawing/2014/main" id="{6CAB3266-B467-4806-A941-2AE08DAD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8500" y="11868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8</xdr:row>
      <xdr:rowOff>0</xdr:rowOff>
    </xdr:from>
    <xdr:ext cx="1025525" cy="1428750"/>
    <xdr:pic>
      <xdr:nvPicPr>
        <xdr:cNvPr id="75" name="Picture 74" descr="https://www.tcdb.com/Images/Thumbs/Basketball/2416/2416_SS1Thumb2.jpg">
          <a:extLst>
            <a:ext uri="{FF2B5EF4-FFF2-40B4-BE49-F238E27FC236}">
              <a16:creationId xmlns:a16="http://schemas.microsoft.com/office/drawing/2014/main" id="{A3C61C6A-4B61-4C43-A0DA-66DE3A07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8500" y="5010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18</xdr:row>
      <xdr:rowOff>0</xdr:rowOff>
    </xdr:from>
    <xdr:ext cx="1009650" cy="1428750"/>
    <xdr:pic>
      <xdr:nvPicPr>
        <xdr:cNvPr id="76" name="Picture 75" descr="https://www.tcdb.com/Images/Thumbs/Basketball/25634/25634_3004784Thumb2.jpg">
          <a:extLst>
            <a:ext uri="{FF2B5EF4-FFF2-40B4-BE49-F238E27FC236}">
              <a16:creationId xmlns:a16="http://schemas.microsoft.com/office/drawing/2014/main" id="{D74BCD1C-0D8E-4BFE-A5FD-8C515FE4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8500" y="22155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11</xdr:row>
      <xdr:rowOff>0</xdr:rowOff>
    </xdr:from>
    <xdr:ext cx="1025525" cy="1428750"/>
    <xdr:pic>
      <xdr:nvPicPr>
        <xdr:cNvPr id="77" name="Picture 76" descr="https://www.tcdb.com/Images/Thumbs/Basketball/25636/25636_3005271Thumb2.jpg">
          <a:extLst>
            <a:ext uri="{FF2B5EF4-FFF2-40B4-BE49-F238E27FC236}">
              <a16:creationId xmlns:a16="http://schemas.microsoft.com/office/drawing/2014/main" id="{92D53AFA-332C-48DB-B707-3CA791975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8500" y="10153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7</xdr:row>
      <xdr:rowOff>0</xdr:rowOff>
    </xdr:from>
    <xdr:ext cx="1025525" cy="1428750"/>
    <xdr:pic>
      <xdr:nvPicPr>
        <xdr:cNvPr id="78" name="Picture 77" descr="https://www.tcdb.com/Images/Thumbs/Basketball/25635/25635_3004795Thumb2.jpg">
          <a:extLst>
            <a:ext uri="{FF2B5EF4-FFF2-40B4-BE49-F238E27FC236}">
              <a16:creationId xmlns:a16="http://schemas.microsoft.com/office/drawing/2014/main" id="{3FC0C5BD-6CD5-4DC0-BF04-1770E93C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8500" y="3295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9</xdr:row>
      <xdr:rowOff>0</xdr:rowOff>
    </xdr:from>
    <xdr:ext cx="1028700" cy="1428750"/>
    <xdr:pic>
      <xdr:nvPicPr>
        <xdr:cNvPr id="79" name="Picture 78" descr="https://www.tcdb.com/Images/Thumbs/Basketball/223603/223603_3005294Thumb2.jpg">
          <a:extLst>
            <a:ext uri="{FF2B5EF4-FFF2-40B4-BE49-F238E27FC236}">
              <a16:creationId xmlns:a16="http://schemas.microsoft.com/office/drawing/2014/main" id="{5B170134-A381-40A3-8305-F33EC8F0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8500" y="6724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13</xdr:row>
      <xdr:rowOff>0</xdr:rowOff>
    </xdr:from>
    <xdr:ext cx="1006475" cy="1428750"/>
    <xdr:pic>
      <xdr:nvPicPr>
        <xdr:cNvPr id="80" name="Picture 79" descr="https://www.tcdb.com/Images/Thumbs/Basketball/91418/91418_6456328Thumb2.jpg">
          <a:extLst>
            <a:ext uri="{FF2B5EF4-FFF2-40B4-BE49-F238E27FC236}">
              <a16:creationId xmlns:a16="http://schemas.microsoft.com/office/drawing/2014/main" id="{83165F0C-5877-4F93-9190-469EE7F8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8500" y="135826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6</xdr:row>
      <xdr:rowOff>0</xdr:rowOff>
    </xdr:from>
    <xdr:ext cx="1025525" cy="1428750"/>
    <xdr:pic>
      <xdr:nvPicPr>
        <xdr:cNvPr id="81" name="Picture 80" descr="https://www.tcdb.com/Images/Thumbs/Basketball/2422/2422_10Thumb2.jpg">
          <a:extLst>
            <a:ext uri="{FF2B5EF4-FFF2-40B4-BE49-F238E27FC236}">
              <a16:creationId xmlns:a16="http://schemas.microsoft.com/office/drawing/2014/main" id="{4FE9B49D-F885-4481-8B5D-605DDC49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46800" y="1581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7</xdr:row>
      <xdr:rowOff>0</xdr:rowOff>
    </xdr:from>
    <xdr:ext cx="1009650" cy="1428750"/>
    <xdr:pic>
      <xdr:nvPicPr>
        <xdr:cNvPr id="82" name="Picture 81" descr="https://www.tcdb.com/Images/Thumbs/Basketball/2423/2423_3005621Thumb2.jpg">
          <a:extLst>
            <a:ext uri="{FF2B5EF4-FFF2-40B4-BE49-F238E27FC236}">
              <a16:creationId xmlns:a16="http://schemas.microsoft.com/office/drawing/2014/main" id="{31FDB047-9A00-4455-A4BA-733CACF4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46800" y="3295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28</xdr:row>
      <xdr:rowOff>0</xdr:rowOff>
    </xdr:from>
    <xdr:ext cx="996950" cy="1428750"/>
    <xdr:pic>
      <xdr:nvPicPr>
        <xdr:cNvPr id="83" name="Picture 82" descr="https://www.tcdb.com/Images/Thumbs/Basketball/2555/2555_3011631RepThumb2.jpg">
          <a:extLst>
            <a:ext uri="{FF2B5EF4-FFF2-40B4-BE49-F238E27FC236}">
              <a16:creationId xmlns:a16="http://schemas.microsoft.com/office/drawing/2014/main" id="{62DAD175-E80A-472F-9875-132227A8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393001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8</xdr:row>
      <xdr:rowOff>0</xdr:rowOff>
    </xdr:from>
    <xdr:ext cx="1016000" cy="1428750"/>
    <xdr:pic>
      <xdr:nvPicPr>
        <xdr:cNvPr id="84" name="Picture 83" descr="https://www.tcdb.com/Images/Thumbs/Basketball/2562/2562_72Thumb2.jpg">
          <a:extLst>
            <a:ext uri="{FF2B5EF4-FFF2-40B4-BE49-F238E27FC236}">
              <a16:creationId xmlns:a16="http://schemas.microsoft.com/office/drawing/2014/main" id="{2C0E5D55-4539-4548-BF39-161B403D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50350" y="5010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6</xdr:row>
      <xdr:rowOff>0</xdr:rowOff>
    </xdr:from>
    <xdr:ext cx="1016000" cy="1428750"/>
    <xdr:pic>
      <xdr:nvPicPr>
        <xdr:cNvPr id="85" name="Picture 84" descr="https://www.tcdb.com/Images/Thumbs/Basketball/2562/2562_139Thumb2.jpg">
          <a:extLst>
            <a:ext uri="{FF2B5EF4-FFF2-40B4-BE49-F238E27FC236}">
              <a16:creationId xmlns:a16="http://schemas.microsoft.com/office/drawing/2014/main" id="{744EED59-78DF-4A12-82A2-2D7A1CAF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50350" y="1581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34636</xdr:colOff>
      <xdr:row>16</xdr:row>
      <xdr:rowOff>0</xdr:rowOff>
    </xdr:from>
    <xdr:ext cx="1014984" cy="1426464"/>
    <xdr:pic>
      <xdr:nvPicPr>
        <xdr:cNvPr id="86" name="Picture 85" descr="https://www.tcdb.com/Images/Thumbs/Basketball/2571/2571_3012429Thumb2.jpg">
          <a:extLst>
            <a:ext uri="{FF2B5EF4-FFF2-40B4-BE49-F238E27FC236}">
              <a16:creationId xmlns:a16="http://schemas.microsoft.com/office/drawing/2014/main" id="{55BA577D-3208-45CE-BA9E-99F36B0A1D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4986" y="18726150"/>
          <a:ext cx="101498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24245</xdr:colOff>
      <xdr:row>17</xdr:row>
      <xdr:rowOff>10968</xdr:rowOff>
    </xdr:from>
    <xdr:ext cx="1014984" cy="1426464"/>
    <xdr:pic>
      <xdr:nvPicPr>
        <xdr:cNvPr id="87" name="Picture 86" descr="https://www.tcdb.com/Images/Thumbs/Basketball/25715/25715_3012444Thumb2.jpg">
          <a:extLst>
            <a:ext uri="{FF2B5EF4-FFF2-40B4-BE49-F238E27FC236}">
              <a16:creationId xmlns:a16="http://schemas.microsoft.com/office/drawing/2014/main" id="{F86FB51E-D8E6-483B-8F10-9D6F9DFB97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7770" y="20454793"/>
          <a:ext cx="101498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30594</xdr:colOff>
      <xdr:row>18</xdr:row>
      <xdr:rowOff>10968</xdr:rowOff>
    </xdr:from>
    <xdr:ext cx="1014984" cy="1426464"/>
    <xdr:pic>
      <xdr:nvPicPr>
        <xdr:cNvPr id="88" name="Picture 87" descr="https://www.tcdb.com/Images/Thumbs/Basketball/2572/2572_3012471Thumb2.jpg">
          <a:extLst>
            <a:ext uri="{FF2B5EF4-FFF2-40B4-BE49-F238E27FC236}">
              <a16:creationId xmlns:a16="http://schemas.microsoft.com/office/drawing/2014/main" id="{AA774272-2FF2-4F38-AE5E-FDB455B683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4119" y="22169293"/>
          <a:ext cx="101498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30594</xdr:colOff>
      <xdr:row>21</xdr:row>
      <xdr:rowOff>10968</xdr:rowOff>
    </xdr:from>
    <xdr:ext cx="1014984" cy="1426464"/>
    <xdr:pic>
      <xdr:nvPicPr>
        <xdr:cNvPr id="89" name="Picture 88" descr="https://www.tcdb.com/Images/Thumbs/Basketball/25718/25718_3012537Thumb2.jpg">
          <a:extLst>
            <a:ext uri="{FF2B5EF4-FFF2-40B4-BE49-F238E27FC236}">
              <a16:creationId xmlns:a16="http://schemas.microsoft.com/office/drawing/2014/main" id="{84F5BB3D-2AB3-4911-A4A4-4A22712887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4119" y="27312793"/>
          <a:ext cx="101498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9</xdr:row>
      <xdr:rowOff>0</xdr:rowOff>
    </xdr:from>
    <xdr:ext cx="1009650" cy="1428750"/>
    <xdr:pic>
      <xdr:nvPicPr>
        <xdr:cNvPr id="90" name="Picture 89" descr="https://www.tcdb.com/Images/Thumbs/Basketball/25719/25719_3012617Thumb2.jpg">
          <a:extLst>
            <a:ext uri="{FF2B5EF4-FFF2-40B4-BE49-F238E27FC236}">
              <a16:creationId xmlns:a16="http://schemas.microsoft.com/office/drawing/2014/main" id="{5DA156A3-6367-4C47-8E53-6DEA18ECB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50350" y="6724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7</xdr:row>
      <xdr:rowOff>0</xdr:rowOff>
    </xdr:from>
    <xdr:ext cx="1016000" cy="1428750"/>
    <xdr:pic>
      <xdr:nvPicPr>
        <xdr:cNvPr id="91" name="Picture 90" descr="https://www.tcdb.com/Images/Thumbs/Basketball/25719/25719_3012682Thumb2.jpg">
          <a:extLst>
            <a:ext uri="{FF2B5EF4-FFF2-40B4-BE49-F238E27FC236}">
              <a16:creationId xmlns:a16="http://schemas.microsoft.com/office/drawing/2014/main" id="{C6E502DF-8DFD-4CF5-9838-63BE8636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50350" y="3295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10</xdr:row>
      <xdr:rowOff>0</xdr:rowOff>
    </xdr:from>
    <xdr:ext cx="1016000" cy="1428750"/>
    <xdr:pic>
      <xdr:nvPicPr>
        <xdr:cNvPr id="92" name="Picture 91" descr="https://www.tcdb.com/Images/Thumbs/Basketball/2577/2577_PF3Thumb2.jpg">
          <a:extLst>
            <a:ext uri="{FF2B5EF4-FFF2-40B4-BE49-F238E27FC236}">
              <a16:creationId xmlns:a16="http://schemas.microsoft.com/office/drawing/2014/main" id="{BC34B73B-F1D9-4FD3-BCE9-500B0993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50350" y="8439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11</xdr:row>
      <xdr:rowOff>0</xdr:rowOff>
    </xdr:from>
    <xdr:ext cx="1016000" cy="1428750"/>
    <xdr:pic>
      <xdr:nvPicPr>
        <xdr:cNvPr id="93" name="Picture 92" descr="https://www.tcdb.com/Images/Thumbs/Basketball/2578/2578_SB1Thumb2.jpg">
          <a:extLst>
            <a:ext uri="{FF2B5EF4-FFF2-40B4-BE49-F238E27FC236}">
              <a16:creationId xmlns:a16="http://schemas.microsoft.com/office/drawing/2014/main" id="{7FCF152C-EAB4-46D0-89C8-C9144741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50350" y="10153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0</xdr:colOff>
      <xdr:row>12</xdr:row>
      <xdr:rowOff>0</xdr:rowOff>
    </xdr:from>
    <xdr:ext cx="1016000" cy="1428750"/>
    <xdr:pic>
      <xdr:nvPicPr>
        <xdr:cNvPr id="94" name="Picture 93" descr="https://www.tcdb.com/Images/Thumbs/Basketball/2578/2578_SB18Thumb2.jpg">
          <a:extLst>
            <a:ext uri="{FF2B5EF4-FFF2-40B4-BE49-F238E27FC236}">
              <a16:creationId xmlns:a16="http://schemas.microsoft.com/office/drawing/2014/main" id="{B3CE49D8-5F9F-4EB5-9EFB-219D2838B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50350" y="11868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34637</xdr:colOff>
      <xdr:row>13</xdr:row>
      <xdr:rowOff>0</xdr:rowOff>
    </xdr:from>
    <xdr:ext cx="1014984" cy="1426464"/>
    <xdr:pic>
      <xdr:nvPicPr>
        <xdr:cNvPr id="95" name="Picture 94" descr="https://www.tcdb.com/Images/Thumbs/Basketball/25721/25721_3012844Thumb2.jpg">
          <a:extLst>
            <a:ext uri="{FF2B5EF4-FFF2-40B4-BE49-F238E27FC236}">
              <a16:creationId xmlns:a16="http://schemas.microsoft.com/office/drawing/2014/main" id="{27AE9239-73AC-4E34-962F-AFC7299BEB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4987" y="13582650"/>
          <a:ext cx="101498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30594</xdr:colOff>
      <xdr:row>14</xdr:row>
      <xdr:rowOff>10967</xdr:rowOff>
    </xdr:from>
    <xdr:ext cx="1014984" cy="1426464"/>
    <xdr:pic>
      <xdr:nvPicPr>
        <xdr:cNvPr id="96" name="Picture 95" descr="https://www.tcdb.com/Images/Thumbs/Basketball/25722/25722_3012866Thumb2.jpg">
          <a:extLst>
            <a:ext uri="{FF2B5EF4-FFF2-40B4-BE49-F238E27FC236}">
              <a16:creationId xmlns:a16="http://schemas.microsoft.com/office/drawing/2014/main" id="{E5859165-BCD8-4237-A8BA-672F611582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4119" y="15311292"/>
          <a:ext cx="101498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30594</xdr:colOff>
      <xdr:row>15</xdr:row>
      <xdr:rowOff>10968</xdr:rowOff>
    </xdr:from>
    <xdr:ext cx="1014984" cy="1426464"/>
    <xdr:pic>
      <xdr:nvPicPr>
        <xdr:cNvPr id="97" name="Picture 96" descr="https://www.tcdb.com/Images/Thumbs/Basketball/25720/25720_3012822Thumb2.jpg">
          <a:extLst>
            <a:ext uri="{FF2B5EF4-FFF2-40B4-BE49-F238E27FC236}">
              <a16:creationId xmlns:a16="http://schemas.microsoft.com/office/drawing/2014/main" id="{7FCFFDDD-5C30-4013-B36D-E8C971A85F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4119" y="17025793"/>
          <a:ext cx="101498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28617</xdr:colOff>
      <xdr:row>22</xdr:row>
      <xdr:rowOff>30760</xdr:rowOff>
    </xdr:from>
    <xdr:ext cx="1016000" cy="1428750"/>
    <xdr:pic>
      <xdr:nvPicPr>
        <xdr:cNvPr id="98" name="Picture 97" descr="https://www.tcdb.com/Images/Thumbs/Basketball/2579/2579_ST4Thumb2.jpg">
          <a:extLst>
            <a:ext uri="{FF2B5EF4-FFF2-40B4-BE49-F238E27FC236}">
              <a16:creationId xmlns:a16="http://schemas.microsoft.com/office/drawing/2014/main" id="{0FF6D265-5D8A-45F7-A318-11AFF9C9D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3275767" y="29253460"/>
          <a:ext cx="142875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0</xdr:colOff>
      <xdr:row>8</xdr:row>
      <xdr:rowOff>0</xdr:rowOff>
    </xdr:from>
    <xdr:ext cx="1028700" cy="1428750"/>
    <xdr:pic>
      <xdr:nvPicPr>
        <xdr:cNvPr id="99" name="Picture 98" descr="https://www.tcdb.com/Images/Thumbs/Basketball/2563/2563_72Thumb2.jpg">
          <a:extLst>
            <a:ext uri="{FF2B5EF4-FFF2-40B4-BE49-F238E27FC236}">
              <a16:creationId xmlns:a16="http://schemas.microsoft.com/office/drawing/2014/main" id="{1201CA37-256C-47CE-B886-EEA6B661B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0" y="5010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0</xdr:colOff>
      <xdr:row>6</xdr:row>
      <xdr:rowOff>0</xdr:rowOff>
    </xdr:from>
    <xdr:ext cx="1019175" cy="1428750"/>
    <xdr:pic>
      <xdr:nvPicPr>
        <xdr:cNvPr id="100" name="Picture 99" descr="https://www.tcdb.com/Images/Thumbs/Basketball/2563/2563_692579Thumb2.jpg">
          <a:extLst>
            <a:ext uri="{FF2B5EF4-FFF2-40B4-BE49-F238E27FC236}">
              <a16:creationId xmlns:a16="http://schemas.microsoft.com/office/drawing/2014/main" id="{E794D270-3463-4A5A-BC0C-3F2F9F120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0" y="1581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0</xdr:colOff>
      <xdr:row>10</xdr:row>
      <xdr:rowOff>0</xdr:rowOff>
    </xdr:from>
    <xdr:ext cx="1009650" cy="1428750"/>
    <xdr:pic>
      <xdr:nvPicPr>
        <xdr:cNvPr id="101" name="Picture 100" descr="https://www.tcdb.com/Images/Thumbs/Basketball/2564/2564_3012921Thumb2.jpg">
          <a:extLst>
            <a:ext uri="{FF2B5EF4-FFF2-40B4-BE49-F238E27FC236}">
              <a16:creationId xmlns:a16="http://schemas.microsoft.com/office/drawing/2014/main" id="{6EBA0E42-D212-46A1-905E-7B7513918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0" y="8439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0</xdr:colOff>
      <xdr:row>7</xdr:row>
      <xdr:rowOff>0</xdr:rowOff>
    </xdr:from>
    <xdr:ext cx="1019175" cy="1428750"/>
    <xdr:pic>
      <xdr:nvPicPr>
        <xdr:cNvPr id="102" name="Picture 101" descr="https://www.tcdb.com/Images/Thumbs/Basketball/2565/2565_3013077Thumb2.jpg">
          <a:extLst>
            <a:ext uri="{FF2B5EF4-FFF2-40B4-BE49-F238E27FC236}">
              <a16:creationId xmlns:a16="http://schemas.microsoft.com/office/drawing/2014/main" id="{B9AEA91D-F5F3-41FB-8764-23F598BAD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0</xdr:colOff>
      <xdr:row>11</xdr:row>
      <xdr:rowOff>0</xdr:rowOff>
    </xdr:from>
    <xdr:ext cx="1019175" cy="1428750"/>
    <xdr:pic>
      <xdr:nvPicPr>
        <xdr:cNvPr id="103" name="Picture 102" descr="https://www.tcdb.com/Images/Thumbs/Basketball/2566/2566_SB1Thumb2.jpg">
          <a:extLst>
            <a:ext uri="{FF2B5EF4-FFF2-40B4-BE49-F238E27FC236}">
              <a16:creationId xmlns:a16="http://schemas.microsoft.com/office/drawing/2014/main" id="{606CC790-02FB-4F5A-808B-CA95BE2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0" y="10153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0</xdr:colOff>
      <xdr:row>12</xdr:row>
      <xdr:rowOff>0</xdr:rowOff>
    </xdr:from>
    <xdr:ext cx="1009650" cy="1428750"/>
    <xdr:pic>
      <xdr:nvPicPr>
        <xdr:cNvPr id="104" name="Picture 103" descr="https://www.tcdb.com/Images/Thumbs/Basketball/2566/2566_3013176RepThumb2.jpg">
          <a:extLst>
            <a:ext uri="{FF2B5EF4-FFF2-40B4-BE49-F238E27FC236}">
              <a16:creationId xmlns:a16="http://schemas.microsoft.com/office/drawing/2014/main" id="{32B66F9F-BB7C-4BC9-9A98-FB8A7ACAF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0" y="11868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200</xdr:col>
      <xdr:colOff>10432</xdr:colOff>
      <xdr:row>9</xdr:row>
      <xdr:rowOff>29680</xdr:rowOff>
    </xdr:from>
    <xdr:ext cx="1027597" cy="1426464"/>
    <xdr:pic>
      <xdr:nvPicPr>
        <xdr:cNvPr id="105" name="Picture 104" descr="Picture 1 of 2">
          <a:extLst>
            <a:ext uri="{FF2B5EF4-FFF2-40B4-BE49-F238E27FC236}">
              <a16:creationId xmlns:a16="http://schemas.microsoft.com/office/drawing/2014/main" id="{7FD55C9C-3A5D-4287-A74B-135D40657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82" t="22542" r="13802" b="15689"/>
        <a:stretch/>
      </xdr:blipFill>
      <xdr:spPr bwMode="auto">
        <a:xfrm>
          <a:off x="131268107" y="6757505"/>
          <a:ext cx="1027597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28450</xdr:colOff>
      <xdr:row>19</xdr:row>
      <xdr:rowOff>13071</xdr:rowOff>
    </xdr:from>
    <xdr:ext cx="1014984" cy="1426464"/>
    <xdr:pic>
      <xdr:nvPicPr>
        <xdr:cNvPr id="106" name="Picture 105" descr="Picture 1 of 3">
          <a:extLst>
            <a:ext uri="{FF2B5EF4-FFF2-40B4-BE49-F238E27FC236}">
              <a16:creationId xmlns:a16="http://schemas.microsoft.com/office/drawing/2014/main" id="{9BA620F9-43B9-4564-ACF1-6631357E334A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93" t="23826" r="13341" b="9660"/>
        <a:stretch/>
      </xdr:blipFill>
      <xdr:spPr bwMode="auto">
        <a:xfrm>
          <a:off x="123481975" y="23885896"/>
          <a:ext cx="101498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188</xdr:col>
      <xdr:colOff>30327</xdr:colOff>
      <xdr:row>20</xdr:row>
      <xdr:rowOff>10432</xdr:rowOff>
    </xdr:from>
    <xdr:ext cx="1014984" cy="1426464"/>
    <xdr:pic>
      <xdr:nvPicPr>
        <xdr:cNvPr id="107" name="Picture 106" descr="Picture 1 of 3">
          <a:extLst>
            <a:ext uri="{FF2B5EF4-FFF2-40B4-BE49-F238E27FC236}">
              <a16:creationId xmlns:a16="http://schemas.microsoft.com/office/drawing/2014/main" id="{84FFA75E-1519-4C06-BC4B-4CA2A27983B1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78" t="27589" r="12348" b="7763"/>
        <a:stretch/>
      </xdr:blipFill>
      <xdr:spPr bwMode="auto">
        <a:xfrm>
          <a:off x="123483852" y="25597757"/>
          <a:ext cx="1014984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6</xdr:row>
      <xdr:rowOff>0</xdr:rowOff>
    </xdr:from>
    <xdr:ext cx="1016000" cy="1428750"/>
    <xdr:pic>
      <xdr:nvPicPr>
        <xdr:cNvPr id="108" name="Picture 107" descr="https://www.tcdb.com/Images/Thumbs/Basketball/2547/2547_101Thumb2.jpg">
          <a:extLst>
            <a:ext uri="{FF2B5EF4-FFF2-40B4-BE49-F238E27FC236}">
              <a16:creationId xmlns:a16="http://schemas.microsoft.com/office/drawing/2014/main" id="{4635C7A8-6825-4B5D-AC65-0779DB89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1581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8</xdr:row>
      <xdr:rowOff>0</xdr:rowOff>
    </xdr:from>
    <xdr:ext cx="1016000" cy="1428750"/>
    <xdr:pic>
      <xdr:nvPicPr>
        <xdr:cNvPr id="109" name="Picture 108" descr="https://www.tcdb.com/Images/Thumbs/Basketball/2548/2548_3011530Thumb2.jpg">
          <a:extLst>
            <a:ext uri="{FF2B5EF4-FFF2-40B4-BE49-F238E27FC236}">
              <a16:creationId xmlns:a16="http://schemas.microsoft.com/office/drawing/2014/main" id="{783613BE-BEBD-4073-B504-6E9D5884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5010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11</xdr:row>
      <xdr:rowOff>0</xdr:rowOff>
    </xdr:from>
    <xdr:ext cx="996950" cy="1428750"/>
    <xdr:pic>
      <xdr:nvPicPr>
        <xdr:cNvPr id="110" name="Picture 109" descr="https://www.tcdb.com/Images/Thumbs/Basketball/25708/25708_3011510Thumb2.jpg">
          <a:extLst>
            <a:ext uri="{FF2B5EF4-FFF2-40B4-BE49-F238E27FC236}">
              <a16:creationId xmlns:a16="http://schemas.microsoft.com/office/drawing/2014/main" id="{D1CDA0E3-AC93-4601-89AD-79409168C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101536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10</xdr:row>
      <xdr:rowOff>0</xdr:rowOff>
    </xdr:from>
    <xdr:ext cx="996950" cy="1428750"/>
    <xdr:pic>
      <xdr:nvPicPr>
        <xdr:cNvPr id="111" name="Picture 110" descr="https://www.tcdb.com/Images/Thumbs/Basketball/25709/25709_3011520Thumb2.jpg">
          <a:extLst>
            <a:ext uri="{FF2B5EF4-FFF2-40B4-BE49-F238E27FC236}">
              <a16:creationId xmlns:a16="http://schemas.microsoft.com/office/drawing/2014/main" id="{CDE78D38-5F69-4065-9B5B-B449E655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84391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16</xdr:row>
      <xdr:rowOff>0</xdr:rowOff>
    </xdr:from>
    <xdr:ext cx="1016000" cy="1428750"/>
    <xdr:pic>
      <xdr:nvPicPr>
        <xdr:cNvPr id="112" name="Picture 111" descr="https://www.tcdb.com/Images/Thumbs/Basketball/2550/2550_3011590RepThumb2.jpg">
          <a:extLst>
            <a:ext uri="{FF2B5EF4-FFF2-40B4-BE49-F238E27FC236}">
              <a16:creationId xmlns:a16="http://schemas.microsoft.com/office/drawing/2014/main" id="{48FD8849-AC62-43BD-84B5-64F6B3B8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18726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12</xdr:row>
      <xdr:rowOff>0</xdr:rowOff>
    </xdr:from>
    <xdr:ext cx="1016000" cy="1428750"/>
    <xdr:pic>
      <xdr:nvPicPr>
        <xdr:cNvPr id="113" name="Picture 112" descr="https://www.tcdb.com/Images/Thumbs/Basketball/2554/2554_3011642Thumb2.jpg">
          <a:extLst>
            <a:ext uri="{FF2B5EF4-FFF2-40B4-BE49-F238E27FC236}">
              <a16:creationId xmlns:a16="http://schemas.microsoft.com/office/drawing/2014/main" id="{4B7B6F9A-C335-47A9-880C-9E7121B1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11868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14</xdr:row>
      <xdr:rowOff>0</xdr:rowOff>
    </xdr:from>
    <xdr:ext cx="1016000" cy="1428750"/>
    <xdr:pic>
      <xdr:nvPicPr>
        <xdr:cNvPr id="114" name="Picture 113" descr="https://www.tcdb.com/Images/Thumbs/Basketball/2551/2551_3011658Thumb2.jpg">
          <a:extLst>
            <a:ext uri="{FF2B5EF4-FFF2-40B4-BE49-F238E27FC236}">
              <a16:creationId xmlns:a16="http://schemas.microsoft.com/office/drawing/2014/main" id="{643AE247-3ADE-40FC-BBC3-E64FE815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15297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25</xdr:row>
      <xdr:rowOff>0</xdr:rowOff>
    </xdr:from>
    <xdr:ext cx="1028700" cy="1428750"/>
    <xdr:pic>
      <xdr:nvPicPr>
        <xdr:cNvPr id="115" name="Picture 114" descr="https://www.tcdb.com/Images/Thumbs/Basketball/2553/2553_3011799Thumb2.jpg">
          <a:extLst>
            <a:ext uri="{FF2B5EF4-FFF2-40B4-BE49-F238E27FC236}">
              <a16:creationId xmlns:a16="http://schemas.microsoft.com/office/drawing/2014/main" id="{9DE5A0D3-3975-477C-872A-1FF3F4349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34156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17</xdr:row>
      <xdr:rowOff>0</xdr:rowOff>
    </xdr:from>
    <xdr:ext cx="1028700" cy="1428750"/>
    <xdr:pic>
      <xdr:nvPicPr>
        <xdr:cNvPr id="116" name="Picture 115" descr="https://www.tcdb.com/Images/Thumbs/Basketball/277853/277853_16938933Thumb2.jpg">
          <a:extLst>
            <a:ext uri="{FF2B5EF4-FFF2-40B4-BE49-F238E27FC236}">
              <a16:creationId xmlns:a16="http://schemas.microsoft.com/office/drawing/2014/main" id="{A33B4E87-B5B6-4386-94B8-096192B2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20440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19</xdr:row>
      <xdr:rowOff>0</xdr:rowOff>
    </xdr:from>
    <xdr:ext cx="996950" cy="1428750"/>
    <xdr:pic>
      <xdr:nvPicPr>
        <xdr:cNvPr id="117" name="Picture 116" descr="https://www.tcdb.com/Images/Thumbs/Basketball/277870/277870_16940727Thumb2.jpg">
          <a:extLst>
            <a:ext uri="{FF2B5EF4-FFF2-40B4-BE49-F238E27FC236}">
              <a16:creationId xmlns:a16="http://schemas.microsoft.com/office/drawing/2014/main" id="{C68C82B4-C905-4E74-998D-D8971D5D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238696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21</xdr:row>
      <xdr:rowOff>0</xdr:rowOff>
    </xdr:from>
    <xdr:ext cx="1009650" cy="1428750"/>
    <xdr:pic>
      <xdr:nvPicPr>
        <xdr:cNvPr id="118" name="Picture 117" descr="https://www.tcdb.com/Images/Thumbs/Basketball/277871/277871_16940748Thumb2.jpg">
          <a:extLst>
            <a:ext uri="{FF2B5EF4-FFF2-40B4-BE49-F238E27FC236}">
              <a16:creationId xmlns:a16="http://schemas.microsoft.com/office/drawing/2014/main" id="{FF8CC5FD-22FC-45C2-A317-81D8E8C0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27298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18</xdr:row>
      <xdr:rowOff>0</xdr:rowOff>
    </xdr:from>
    <xdr:ext cx="1019175" cy="1428750"/>
    <xdr:pic>
      <xdr:nvPicPr>
        <xdr:cNvPr id="119" name="Picture 118" descr="https://www.tcdb.com/Images/Thumbs/Basketball/58089/58089_SM2Thumb2.jpg">
          <a:extLst>
            <a:ext uri="{FF2B5EF4-FFF2-40B4-BE49-F238E27FC236}">
              <a16:creationId xmlns:a16="http://schemas.microsoft.com/office/drawing/2014/main" id="{F0DBE12B-810F-44AA-947D-41264B4D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22155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27215</xdr:colOff>
      <xdr:row>23</xdr:row>
      <xdr:rowOff>13607</xdr:rowOff>
    </xdr:from>
    <xdr:ext cx="1028700" cy="1428750"/>
    <xdr:pic>
      <xdr:nvPicPr>
        <xdr:cNvPr id="120" name="Picture 119" descr="https://www.tcdb.com/Images/Thumbs/Basketball/2560/2560_TC9Thumb4.jpg">
          <a:extLst>
            <a:ext uri="{FF2B5EF4-FFF2-40B4-BE49-F238E27FC236}">
              <a16:creationId xmlns:a16="http://schemas.microsoft.com/office/drawing/2014/main" id="{D37D045B-3CF1-49E6-AD76-C658A644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22390" y="30744432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6</xdr:row>
      <xdr:rowOff>0</xdr:rowOff>
    </xdr:from>
    <xdr:ext cx="1028700" cy="1428750"/>
    <xdr:pic>
      <xdr:nvPicPr>
        <xdr:cNvPr id="121" name="Picture 120" descr="https://www.tcdb.com/Images/Thumbs/Basketball/2475/2475_50Thumb2.jpg">
          <a:extLst>
            <a:ext uri="{FF2B5EF4-FFF2-40B4-BE49-F238E27FC236}">
              <a16:creationId xmlns:a16="http://schemas.microsoft.com/office/drawing/2014/main" id="{F7345BE9-E910-483A-B6E7-C7B7255ED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96150" y="158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8</xdr:row>
      <xdr:rowOff>0</xdr:rowOff>
    </xdr:from>
    <xdr:ext cx="1028700" cy="1428750"/>
    <xdr:pic>
      <xdr:nvPicPr>
        <xdr:cNvPr id="122" name="Picture 121" descr="https://www.tcdb.com/Images/Thumbs/Basketball/2475/2475_689248Thumb2.jpg">
          <a:extLst>
            <a:ext uri="{FF2B5EF4-FFF2-40B4-BE49-F238E27FC236}">
              <a16:creationId xmlns:a16="http://schemas.microsoft.com/office/drawing/2014/main" id="{335C620D-4A11-4292-A28C-03AB9E6C3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96150" y="5010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10</xdr:row>
      <xdr:rowOff>0</xdr:rowOff>
    </xdr:from>
    <xdr:ext cx="1019175" cy="1428750"/>
    <xdr:pic>
      <xdr:nvPicPr>
        <xdr:cNvPr id="123" name="Picture 122" descr="https://www.tcdb.com/Images/Thumbs/Basketball/2475/2475_689412Thumb2.jpg">
          <a:extLst>
            <a:ext uri="{FF2B5EF4-FFF2-40B4-BE49-F238E27FC236}">
              <a16:creationId xmlns:a16="http://schemas.microsoft.com/office/drawing/2014/main" id="{72B8902D-3897-4F1D-9C15-97214CFA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96150" y="8439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7</xdr:row>
      <xdr:rowOff>0</xdr:rowOff>
    </xdr:from>
    <xdr:ext cx="1019175" cy="1428750"/>
    <xdr:pic>
      <xdr:nvPicPr>
        <xdr:cNvPr id="124" name="Picture 123" descr="https://www.tcdb.com/Images/Thumbs/Basketball/2476/2476_689509Thumb2.jpg">
          <a:extLst>
            <a:ext uri="{FF2B5EF4-FFF2-40B4-BE49-F238E27FC236}">
              <a16:creationId xmlns:a16="http://schemas.microsoft.com/office/drawing/2014/main" id="{9EA151B8-70A4-497C-8D40-7CB8DCF07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9615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9</xdr:row>
      <xdr:rowOff>0</xdr:rowOff>
    </xdr:from>
    <xdr:ext cx="1019175" cy="1428750"/>
    <xdr:pic>
      <xdr:nvPicPr>
        <xdr:cNvPr id="125" name="Picture 124" descr="https://www.tcdb.com/Images/Thumbs/Basketball/2476/2476_689586Thumb2.jpg">
          <a:extLst>
            <a:ext uri="{FF2B5EF4-FFF2-40B4-BE49-F238E27FC236}">
              <a16:creationId xmlns:a16="http://schemas.microsoft.com/office/drawing/2014/main" id="{06B0C8BB-B53F-4C9F-8BCA-83BA1B2A6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96150" y="6724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224</xdr:col>
      <xdr:colOff>0</xdr:colOff>
      <xdr:row>11</xdr:row>
      <xdr:rowOff>0</xdr:rowOff>
    </xdr:from>
    <xdr:ext cx="1028700" cy="1428750"/>
    <xdr:pic>
      <xdr:nvPicPr>
        <xdr:cNvPr id="126" name="Picture 125" descr="https://www.tcdb.com/Images/Thumbs/Basketball/2476/2476_689751Thumb2.jpg">
          <a:extLst>
            <a:ext uri="{FF2B5EF4-FFF2-40B4-BE49-F238E27FC236}">
              <a16:creationId xmlns:a16="http://schemas.microsoft.com/office/drawing/2014/main" id="{30F6EC52-157C-4DA6-A848-7DBF37F5B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96150" y="10153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7</xdr:row>
      <xdr:rowOff>0</xdr:rowOff>
    </xdr:from>
    <xdr:ext cx="1016000" cy="1428750"/>
    <xdr:pic>
      <xdr:nvPicPr>
        <xdr:cNvPr id="127" name="Picture 126" descr="https://www.tcdb.com/Images/Thumbs/Basketball/2547/2547_101Thumb2.jpg">
          <a:extLst>
            <a:ext uri="{FF2B5EF4-FFF2-40B4-BE49-F238E27FC236}">
              <a16:creationId xmlns:a16="http://schemas.microsoft.com/office/drawing/2014/main" id="{D985FD21-4AB6-48DD-98DE-7A5738A6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3295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9</xdr:row>
      <xdr:rowOff>0</xdr:rowOff>
    </xdr:from>
    <xdr:ext cx="1016000" cy="1428750"/>
    <xdr:pic>
      <xdr:nvPicPr>
        <xdr:cNvPr id="128" name="Picture 127" descr="https://www.tcdb.com/Images/Thumbs/Basketball/2548/2548_3011530Thumb2.jpg">
          <a:extLst>
            <a:ext uri="{FF2B5EF4-FFF2-40B4-BE49-F238E27FC236}">
              <a16:creationId xmlns:a16="http://schemas.microsoft.com/office/drawing/2014/main" id="{66D205A5-AA80-4B95-9D06-3786FDBE1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6724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13</xdr:row>
      <xdr:rowOff>0</xdr:rowOff>
    </xdr:from>
    <xdr:ext cx="1016000" cy="1428750"/>
    <xdr:pic>
      <xdr:nvPicPr>
        <xdr:cNvPr id="129" name="Picture 128" descr="https://www.tcdb.com/Images/Thumbs/Basketball/2554/2554_3011642Thumb2.jpg">
          <a:extLst>
            <a:ext uri="{FF2B5EF4-FFF2-40B4-BE49-F238E27FC236}">
              <a16:creationId xmlns:a16="http://schemas.microsoft.com/office/drawing/2014/main" id="{D762AFC2-5632-4C6C-B3F2-70AAFC3D5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13582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15</xdr:row>
      <xdr:rowOff>0</xdr:rowOff>
    </xdr:from>
    <xdr:ext cx="1016000" cy="1428750"/>
    <xdr:pic>
      <xdr:nvPicPr>
        <xdr:cNvPr id="130" name="Picture 129" descr="https://www.tcdb.com/Images/Thumbs/Basketball/2551/2551_3011658Thumb2.jpg">
          <a:extLst>
            <a:ext uri="{FF2B5EF4-FFF2-40B4-BE49-F238E27FC236}">
              <a16:creationId xmlns:a16="http://schemas.microsoft.com/office/drawing/2014/main" id="{42138CFE-008F-4BF4-B5DF-D63009B6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17011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27215</xdr:colOff>
      <xdr:row>24</xdr:row>
      <xdr:rowOff>13607</xdr:rowOff>
    </xdr:from>
    <xdr:ext cx="1028700" cy="1428750"/>
    <xdr:pic>
      <xdr:nvPicPr>
        <xdr:cNvPr id="131" name="Picture 130" descr="https://www.tcdb.com/Images/Thumbs/Basketball/2560/2560_TC9Thumb4.jpg">
          <a:extLst>
            <a:ext uri="{FF2B5EF4-FFF2-40B4-BE49-F238E27FC236}">
              <a16:creationId xmlns:a16="http://schemas.microsoft.com/office/drawing/2014/main" id="{E96ABA46-6733-4831-9325-CC07DE999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22390" y="32458932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6</xdr:row>
      <xdr:rowOff>0</xdr:rowOff>
    </xdr:from>
    <xdr:ext cx="1016000" cy="1428750"/>
    <xdr:pic>
      <xdr:nvPicPr>
        <xdr:cNvPr id="132" name="Picture 131" descr="https://www.tcdb.com/Images/Thumbs/Basketball/2573/2573_24Thumb2.jpg">
          <a:extLst>
            <a:ext uri="{FF2B5EF4-FFF2-40B4-BE49-F238E27FC236}">
              <a16:creationId xmlns:a16="http://schemas.microsoft.com/office/drawing/2014/main" id="{972723D6-1908-4759-BBE1-D504A965B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1581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11</xdr:row>
      <xdr:rowOff>0</xdr:rowOff>
    </xdr:from>
    <xdr:ext cx="1016000" cy="1428750"/>
    <xdr:pic>
      <xdr:nvPicPr>
        <xdr:cNvPr id="133" name="Picture 132" descr="https://www.tcdb.com/Images/Thumbs/Basketball/2573/2573_693656Thumb2.jpg">
          <a:extLst>
            <a:ext uri="{FF2B5EF4-FFF2-40B4-BE49-F238E27FC236}">
              <a16:creationId xmlns:a16="http://schemas.microsoft.com/office/drawing/2014/main" id="{FE7773AD-2E05-42DE-B68B-0F021349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10153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16</xdr:row>
      <xdr:rowOff>0</xdr:rowOff>
    </xdr:from>
    <xdr:ext cx="1016000" cy="1428750"/>
    <xdr:pic>
      <xdr:nvPicPr>
        <xdr:cNvPr id="134" name="Picture 133" descr="https://www.tcdb.com/Images/Thumbs/Basketball/2573/2573_124Thumb2.jpg">
          <a:extLst>
            <a:ext uri="{FF2B5EF4-FFF2-40B4-BE49-F238E27FC236}">
              <a16:creationId xmlns:a16="http://schemas.microsoft.com/office/drawing/2014/main" id="{70710AC6-59A7-444C-96B6-C11D491E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18726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8</xdr:row>
      <xdr:rowOff>0</xdr:rowOff>
    </xdr:from>
    <xdr:ext cx="1009650" cy="1428750"/>
    <xdr:pic>
      <xdr:nvPicPr>
        <xdr:cNvPr id="135" name="Picture 134" descr="https://www.tcdb.com/Images/Thumbs/Basketball/25659/25659_3007679RepThumb2.jpg">
          <a:extLst>
            <a:ext uri="{FF2B5EF4-FFF2-40B4-BE49-F238E27FC236}">
              <a16:creationId xmlns:a16="http://schemas.microsoft.com/office/drawing/2014/main" id="{2D3B3E6D-68B3-4828-AFCF-206634559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5010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13</xdr:row>
      <xdr:rowOff>0</xdr:rowOff>
    </xdr:from>
    <xdr:ext cx="1016000" cy="1428750"/>
    <xdr:pic>
      <xdr:nvPicPr>
        <xdr:cNvPr id="136" name="Picture 135" descr="https://www.tcdb.com/Images/Thumbs/Basketball/25659/25659_3007729Thumb2.jpg">
          <a:extLst>
            <a:ext uri="{FF2B5EF4-FFF2-40B4-BE49-F238E27FC236}">
              <a16:creationId xmlns:a16="http://schemas.microsoft.com/office/drawing/2014/main" id="{B6478065-65F7-4531-82F5-178DFDD5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13582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18</xdr:row>
      <xdr:rowOff>0</xdr:rowOff>
    </xdr:from>
    <xdr:ext cx="1016000" cy="1428750"/>
    <xdr:pic>
      <xdr:nvPicPr>
        <xdr:cNvPr id="137" name="Picture 136" descr="https://www.tcdb.com/Images/Thumbs/Basketball/25659/25659_3007779Thumb2.jpg">
          <a:extLst>
            <a:ext uri="{FF2B5EF4-FFF2-40B4-BE49-F238E27FC236}">
              <a16:creationId xmlns:a16="http://schemas.microsoft.com/office/drawing/2014/main" id="{B224E79B-C535-4EA7-97F2-F86C3DD8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22155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10</xdr:row>
      <xdr:rowOff>0</xdr:rowOff>
    </xdr:from>
    <xdr:ext cx="996950" cy="1428750"/>
    <xdr:pic>
      <xdr:nvPicPr>
        <xdr:cNvPr id="138" name="Picture 137" descr="https://www.tcdb.com/Images/Thumbs/Basketball/25660/25660_3007829Thumb2.jpg">
          <a:extLst>
            <a:ext uri="{FF2B5EF4-FFF2-40B4-BE49-F238E27FC236}">
              <a16:creationId xmlns:a16="http://schemas.microsoft.com/office/drawing/2014/main" id="{A367F536-1744-4BE4-9AA5-150276ED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84391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15</xdr:row>
      <xdr:rowOff>0</xdr:rowOff>
    </xdr:from>
    <xdr:ext cx="996950" cy="1428750"/>
    <xdr:pic>
      <xdr:nvPicPr>
        <xdr:cNvPr id="139" name="Picture 138" descr="https://www.tcdb.com/Images/Thumbs/Basketball/25660/25660_3007879Thumb2.jpg">
          <a:extLst>
            <a:ext uri="{FF2B5EF4-FFF2-40B4-BE49-F238E27FC236}">
              <a16:creationId xmlns:a16="http://schemas.microsoft.com/office/drawing/2014/main" id="{2644954A-3D6F-406F-8B78-9420CFBA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170116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20</xdr:row>
      <xdr:rowOff>0</xdr:rowOff>
    </xdr:from>
    <xdr:ext cx="996950" cy="1428750"/>
    <xdr:pic>
      <xdr:nvPicPr>
        <xdr:cNvPr id="140" name="Picture 139" descr="https://www.tcdb.com/Images/Thumbs/Basketball/25660/25660_3007929Thumb2.jpg">
          <a:extLst>
            <a:ext uri="{FF2B5EF4-FFF2-40B4-BE49-F238E27FC236}">
              <a16:creationId xmlns:a16="http://schemas.microsoft.com/office/drawing/2014/main" id="{8871F756-8774-4C0D-AD5F-9814A3AF4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255841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9</xdr:row>
      <xdr:rowOff>0</xdr:rowOff>
    </xdr:from>
    <xdr:ext cx="996950" cy="1428750"/>
    <xdr:pic>
      <xdr:nvPicPr>
        <xdr:cNvPr id="141" name="Picture 140" descr="https://www.tcdb.com/Images/Thumbs/Basketball/25661/25661_3007979Thumb2.jpg">
          <a:extLst>
            <a:ext uri="{FF2B5EF4-FFF2-40B4-BE49-F238E27FC236}">
              <a16:creationId xmlns:a16="http://schemas.microsoft.com/office/drawing/2014/main" id="{7E7991B4-931D-4A13-BD61-30C6B6E3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67246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14</xdr:row>
      <xdr:rowOff>0</xdr:rowOff>
    </xdr:from>
    <xdr:ext cx="996950" cy="1428750"/>
    <xdr:pic>
      <xdr:nvPicPr>
        <xdr:cNvPr id="142" name="Picture 141" descr="https://www.tcdb.com/Images/Thumbs/Basketball/25661/25661_3008029RepThumb2.jpg">
          <a:extLst>
            <a:ext uri="{FF2B5EF4-FFF2-40B4-BE49-F238E27FC236}">
              <a16:creationId xmlns:a16="http://schemas.microsoft.com/office/drawing/2014/main" id="{151FF54A-5A48-45C6-BA06-51EB7F406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152971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19</xdr:row>
      <xdr:rowOff>0</xdr:rowOff>
    </xdr:from>
    <xdr:ext cx="996950" cy="1428750"/>
    <xdr:pic>
      <xdr:nvPicPr>
        <xdr:cNvPr id="143" name="Picture 142" descr="https://www.tcdb.com/Images/Thumbs/Basketball/25661/25661_3008079Thumb2.jpg">
          <a:extLst>
            <a:ext uri="{FF2B5EF4-FFF2-40B4-BE49-F238E27FC236}">
              <a16:creationId xmlns:a16="http://schemas.microsoft.com/office/drawing/2014/main" id="{79B7C284-6549-4F65-847F-EE57CCB27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238696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21</xdr:row>
      <xdr:rowOff>0</xdr:rowOff>
    </xdr:from>
    <xdr:ext cx="1016000" cy="1428750"/>
    <xdr:pic>
      <xdr:nvPicPr>
        <xdr:cNvPr id="144" name="Picture 143" descr="https://www.tcdb.com/Images/Thumbs/Basketball/25662/25662_3008111Thumb2.jpg">
          <a:extLst>
            <a:ext uri="{FF2B5EF4-FFF2-40B4-BE49-F238E27FC236}">
              <a16:creationId xmlns:a16="http://schemas.microsoft.com/office/drawing/2014/main" id="{62ABE239-6DC8-43CD-8B98-04D1619F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27298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22</xdr:row>
      <xdr:rowOff>0</xdr:rowOff>
    </xdr:from>
    <xdr:ext cx="1016000" cy="1428750"/>
    <xdr:pic>
      <xdr:nvPicPr>
        <xdr:cNvPr id="145" name="Picture 144" descr="https://www.tcdb.com/Images/Thumbs/Basketball/25663/25663_3008136Thumb2.jpg">
          <a:extLst>
            <a:ext uri="{FF2B5EF4-FFF2-40B4-BE49-F238E27FC236}">
              <a16:creationId xmlns:a16="http://schemas.microsoft.com/office/drawing/2014/main" id="{039C4C1E-135F-4262-A3EF-CBD9A8260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29013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7</xdr:row>
      <xdr:rowOff>0</xdr:rowOff>
    </xdr:from>
    <xdr:ext cx="1016000" cy="1428750"/>
    <xdr:pic>
      <xdr:nvPicPr>
        <xdr:cNvPr id="146" name="Picture 145" descr="https://www.tcdb.com/Images/Thumbs/Basketball/25664/25664_3008179Thumb2.jpg">
          <a:extLst>
            <a:ext uri="{FF2B5EF4-FFF2-40B4-BE49-F238E27FC236}">
              <a16:creationId xmlns:a16="http://schemas.microsoft.com/office/drawing/2014/main" id="{BD0EDB14-89FC-4EB1-860C-0040283C0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3295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12</xdr:row>
      <xdr:rowOff>0</xdr:rowOff>
    </xdr:from>
    <xdr:ext cx="1016000" cy="1428750"/>
    <xdr:pic>
      <xdr:nvPicPr>
        <xdr:cNvPr id="147" name="Picture 146" descr="https://www.tcdb.com/Images/Thumbs/Basketball/25664/25664_3008229Thumb2.jpg">
          <a:extLst>
            <a:ext uri="{FF2B5EF4-FFF2-40B4-BE49-F238E27FC236}">
              <a16:creationId xmlns:a16="http://schemas.microsoft.com/office/drawing/2014/main" id="{E84EAEF5-7ACE-49BD-AE76-83415089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11868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17</xdr:row>
      <xdr:rowOff>0</xdr:rowOff>
    </xdr:from>
    <xdr:ext cx="1016000" cy="1428750"/>
    <xdr:pic>
      <xdr:nvPicPr>
        <xdr:cNvPr id="148" name="Picture 147" descr="https://www.tcdb.com/Images/Thumbs/Basketball/25664/25664_3008279Thumb2.jpg">
          <a:extLst>
            <a:ext uri="{FF2B5EF4-FFF2-40B4-BE49-F238E27FC236}">
              <a16:creationId xmlns:a16="http://schemas.microsoft.com/office/drawing/2014/main" id="{0E197BF5-175B-456B-8309-4E7680587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20440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6</xdr:row>
      <xdr:rowOff>0</xdr:rowOff>
    </xdr:from>
    <xdr:ext cx="1009650" cy="1428750"/>
    <xdr:pic>
      <xdr:nvPicPr>
        <xdr:cNvPr id="149" name="Picture 148" descr="https://www.tcdb.com/Images/Thumbs/Basketball/2455/2455_688410Thumb2.jpg">
          <a:extLst>
            <a:ext uri="{FF2B5EF4-FFF2-40B4-BE49-F238E27FC236}">
              <a16:creationId xmlns:a16="http://schemas.microsoft.com/office/drawing/2014/main" id="{AD46BEA4-3B8E-4BB6-8119-F03B2D46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1581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8</xdr:row>
      <xdr:rowOff>0</xdr:rowOff>
    </xdr:from>
    <xdr:ext cx="1025525" cy="1428750"/>
    <xdr:pic>
      <xdr:nvPicPr>
        <xdr:cNvPr id="150" name="Picture 149" descr="https://www.tcdb.com/Images/Thumbs/Basketball/25668/25668_3008495Thumb2.jpg">
          <a:extLst>
            <a:ext uri="{FF2B5EF4-FFF2-40B4-BE49-F238E27FC236}">
              <a16:creationId xmlns:a16="http://schemas.microsoft.com/office/drawing/2014/main" id="{55831AA6-7108-4268-BF33-F351B7DD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5010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7</xdr:row>
      <xdr:rowOff>0</xdr:rowOff>
    </xdr:from>
    <xdr:ext cx="1025525" cy="1428750"/>
    <xdr:pic>
      <xdr:nvPicPr>
        <xdr:cNvPr id="151" name="Picture 150" descr="https://www.tcdb.com/Images/Thumbs/Basketball/25674/25674_3008740Thumb2.jpg">
          <a:extLst>
            <a:ext uri="{FF2B5EF4-FFF2-40B4-BE49-F238E27FC236}">
              <a16:creationId xmlns:a16="http://schemas.microsoft.com/office/drawing/2014/main" id="{0AA4757D-29BF-4C54-832E-BEC2A5EDB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3295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9</xdr:row>
      <xdr:rowOff>0</xdr:rowOff>
    </xdr:from>
    <xdr:ext cx="1009650" cy="1428750"/>
    <xdr:pic>
      <xdr:nvPicPr>
        <xdr:cNvPr id="152" name="Picture 151" descr="https://www.tcdb.com/Images/Thumbs/Basketball/2456/2456_3008542Thumb2.jpg">
          <a:extLst>
            <a:ext uri="{FF2B5EF4-FFF2-40B4-BE49-F238E27FC236}">
              <a16:creationId xmlns:a16="http://schemas.microsoft.com/office/drawing/2014/main" id="{43673464-6385-4D8C-9296-A87ADBAF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6724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10</xdr:row>
      <xdr:rowOff>0</xdr:rowOff>
    </xdr:from>
    <xdr:ext cx="1063625" cy="1428750"/>
    <xdr:pic>
      <xdr:nvPicPr>
        <xdr:cNvPr id="153" name="Picture 152" descr="https://www.tcdb.com/Images/Thumbs/Basketball/25670/25670_3008582Thumb2.jpg">
          <a:extLst>
            <a:ext uri="{FF2B5EF4-FFF2-40B4-BE49-F238E27FC236}">
              <a16:creationId xmlns:a16="http://schemas.microsoft.com/office/drawing/2014/main" id="{2E827B75-CAB9-4DD8-BB9A-971DFA6DD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8439150"/>
          <a:ext cx="10636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11</xdr:row>
      <xdr:rowOff>0</xdr:rowOff>
    </xdr:from>
    <xdr:ext cx="1028700" cy="1428750"/>
    <xdr:pic>
      <xdr:nvPicPr>
        <xdr:cNvPr id="154" name="Picture 153" descr="https://www.tcdb.com/Images/Thumbs/Basketball/25669/25669_3008562RepThumb2.jpg">
          <a:extLst>
            <a:ext uri="{FF2B5EF4-FFF2-40B4-BE49-F238E27FC236}">
              <a16:creationId xmlns:a16="http://schemas.microsoft.com/office/drawing/2014/main" id="{EAF8D331-295A-4895-B149-123EF6E59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10153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12</xdr:row>
      <xdr:rowOff>0</xdr:rowOff>
    </xdr:from>
    <xdr:ext cx="1025525" cy="1428750"/>
    <xdr:pic>
      <xdr:nvPicPr>
        <xdr:cNvPr id="155" name="Picture 154" descr="https://www.tcdb.com/Images/Thumbs/Basketball/2457/2457_HR2Thumb2.jpg">
          <a:extLst>
            <a:ext uri="{FF2B5EF4-FFF2-40B4-BE49-F238E27FC236}">
              <a16:creationId xmlns:a16="http://schemas.microsoft.com/office/drawing/2014/main" id="{90EA6E20-D114-4A4E-BD84-EC7CA813F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11868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13</xdr:row>
      <xdr:rowOff>0</xdr:rowOff>
    </xdr:from>
    <xdr:ext cx="1006475" cy="1428750"/>
    <xdr:pic>
      <xdr:nvPicPr>
        <xdr:cNvPr id="156" name="Picture 155" descr="https://www.tcdb.com/Images/Thumbs/Basketball/25672/25672_3008622Thumb2.jpg">
          <a:extLst>
            <a:ext uri="{FF2B5EF4-FFF2-40B4-BE49-F238E27FC236}">
              <a16:creationId xmlns:a16="http://schemas.microsoft.com/office/drawing/2014/main" id="{C5514257-00A3-4B23-8899-0E38381C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135826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14</xdr:row>
      <xdr:rowOff>0</xdr:rowOff>
    </xdr:from>
    <xdr:ext cx="1025525" cy="1428750"/>
    <xdr:pic>
      <xdr:nvPicPr>
        <xdr:cNvPr id="157" name="Picture 156" descr="https://www.tcdb.com/Images/Thumbs/Basketball/25671/25671_3008612Thumb2.jpg">
          <a:extLst>
            <a:ext uri="{FF2B5EF4-FFF2-40B4-BE49-F238E27FC236}">
              <a16:creationId xmlns:a16="http://schemas.microsoft.com/office/drawing/2014/main" id="{5B699700-3603-4450-9847-732EB3492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15297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15</xdr:row>
      <xdr:rowOff>0</xdr:rowOff>
    </xdr:from>
    <xdr:ext cx="1028700" cy="1428750"/>
    <xdr:pic>
      <xdr:nvPicPr>
        <xdr:cNvPr id="158" name="Picture 157" descr="https://www.tcdb.com/Images/Thumbs/Basketball/2460/2460_3008811Thumb2.jpg">
          <a:extLst>
            <a:ext uri="{FF2B5EF4-FFF2-40B4-BE49-F238E27FC236}">
              <a16:creationId xmlns:a16="http://schemas.microsoft.com/office/drawing/2014/main" id="{6E1C4CEE-710A-4DEF-9616-FC22C3660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17011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16</xdr:row>
      <xdr:rowOff>0</xdr:rowOff>
    </xdr:from>
    <xdr:ext cx="1009650" cy="1428750"/>
    <xdr:pic>
      <xdr:nvPicPr>
        <xdr:cNvPr id="159" name="Picture 158" descr="https://www.tcdb.com/Images/Thumbs/Basketball/25675/25675_3008801Thumb2.jpg">
          <a:extLst>
            <a:ext uri="{FF2B5EF4-FFF2-40B4-BE49-F238E27FC236}">
              <a16:creationId xmlns:a16="http://schemas.microsoft.com/office/drawing/2014/main" id="{BB7505DA-9A1C-43A7-B65E-AD4673B2A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18726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236</xdr:col>
      <xdr:colOff>0</xdr:colOff>
      <xdr:row>17</xdr:row>
      <xdr:rowOff>0</xdr:rowOff>
    </xdr:from>
    <xdr:ext cx="1009650" cy="1428750"/>
    <xdr:pic>
      <xdr:nvPicPr>
        <xdr:cNvPr id="160" name="Picture 159" descr="https://www.tcdb.com/Images/Thumbs/Basketball/2461/2461_3008791Thumb2.jpg">
          <a:extLst>
            <a:ext uri="{FF2B5EF4-FFF2-40B4-BE49-F238E27FC236}">
              <a16:creationId xmlns:a16="http://schemas.microsoft.com/office/drawing/2014/main" id="{94769349-86C0-493B-A477-58134757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00300" y="20440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6</xdr:row>
      <xdr:rowOff>0</xdr:rowOff>
    </xdr:from>
    <xdr:ext cx="1028700" cy="1428750"/>
    <xdr:pic>
      <xdr:nvPicPr>
        <xdr:cNvPr id="161" name="Picture 160" descr="https://www.tcdb.com/Images/Thumbs/Basketball/2701/2701_123Thumb2.jpg">
          <a:extLst>
            <a:ext uri="{FF2B5EF4-FFF2-40B4-BE49-F238E27FC236}">
              <a16:creationId xmlns:a16="http://schemas.microsoft.com/office/drawing/2014/main" id="{D8123DA5-21D9-44EB-8D71-87DA7A9E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158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14</xdr:row>
      <xdr:rowOff>0</xdr:rowOff>
    </xdr:from>
    <xdr:ext cx="1028700" cy="1428750"/>
    <xdr:pic>
      <xdr:nvPicPr>
        <xdr:cNvPr id="162" name="Picture 161" descr="https://www.tcdb.com/Images/Thumbs/Basketball/2704/2704_3022006Thumb2.jpg">
          <a:extLst>
            <a:ext uri="{FF2B5EF4-FFF2-40B4-BE49-F238E27FC236}">
              <a16:creationId xmlns:a16="http://schemas.microsoft.com/office/drawing/2014/main" id="{210FEEAF-879C-4F58-B64A-E42456EA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15297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15</xdr:row>
      <xdr:rowOff>0</xdr:rowOff>
    </xdr:from>
    <xdr:ext cx="1009650" cy="1428750"/>
    <xdr:pic>
      <xdr:nvPicPr>
        <xdr:cNvPr id="163" name="Picture 162" descr="https://www.tcdb.com/Images/Thumbs/Basketball/2706/2706_797594Thumb2.jpg">
          <a:extLst>
            <a:ext uri="{FF2B5EF4-FFF2-40B4-BE49-F238E27FC236}">
              <a16:creationId xmlns:a16="http://schemas.microsoft.com/office/drawing/2014/main" id="{2E4020F5-A3E3-438C-A31E-5E6D4512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17011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16</xdr:row>
      <xdr:rowOff>0</xdr:rowOff>
    </xdr:from>
    <xdr:ext cx="1009650" cy="1428750"/>
    <xdr:pic>
      <xdr:nvPicPr>
        <xdr:cNvPr id="164" name="Picture 163" descr="https://www.tcdb.com/Images/Thumbs/Basketball/2710/2710_3022102Thumb2.jpg">
          <a:extLst>
            <a:ext uri="{FF2B5EF4-FFF2-40B4-BE49-F238E27FC236}">
              <a16:creationId xmlns:a16="http://schemas.microsoft.com/office/drawing/2014/main" id="{4DAAD396-5BE8-45FE-9888-D6718572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18726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17</xdr:row>
      <xdr:rowOff>0</xdr:rowOff>
    </xdr:from>
    <xdr:ext cx="1009650" cy="1428750"/>
    <xdr:pic>
      <xdr:nvPicPr>
        <xdr:cNvPr id="165" name="Picture 164" descr="https://www.tcdb.com/Images/Thumbs/Basketball/25819/25819_3022072Thumb2.jpg">
          <a:extLst>
            <a:ext uri="{FF2B5EF4-FFF2-40B4-BE49-F238E27FC236}">
              <a16:creationId xmlns:a16="http://schemas.microsoft.com/office/drawing/2014/main" id="{BDE1788C-294A-41AD-9E3E-25856EBBC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20440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8</xdr:row>
      <xdr:rowOff>0</xdr:rowOff>
    </xdr:from>
    <xdr:ext cx="1009650" cy="1428750"/>
    <xdr:pic>
      <xdr:nvPicPr>
        <xdr:cNvPr id="166" name="Picture 165" descr="https://www.tcdb.com/Images/Thumbs/Basketball/25820/25820_3022263Thumb2.jpg">
          <a:extLst>
            <a:ext uri="{FF2B5EF4-FFF2-40B4-BE49-F238E27FC236}">
              <a16:creationId xmlns:a16="http://schemas.microsoft.com/office/drawing/2014/main" id="{A969A5D1-3B73-4AA6-8759-CC473C52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5010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11</xdr:row>
      <xdr:rowOff>0</xdr:rowOff>
    </xdr:from>
    <xdr:ext cx="1009650" cy="1428750"/>
    <xdr:pic>
      <xdr:nvPicPr>
        <xdr:cNvPr id="167" name="Picture 166" descr="https://www.tcdb.com/Images/Thumbs/Basketball/2711/2711_IS1Thumb2.jpg">
          <a:extLst>
            <a:ext uri="{FF2B5EF4-FFF2-40B4-BE49-F238E27FC236}">
              <a16:creationId xmlns:a16="http://schemas.microsoft.com/office/drawing/2014/main" id="{EDD2CD27-115D-416F-B6AB-BE758BA97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10153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18</xdr:row>
      <xdr:rowOff>0</xdr:rowOff>
    </xdr:from>
    <xdr:ext cx="987425" cy="1428750"/>
    <xdr:pic>
      <xdr:nvPicPr>
        <xdr:cNvPr id="168" name="Picture 167" descr="https://www.tcdb.com/Images/Thumbs/Basketball/2713/2713_3022581Thumb2.jpg">
          <a:extLst>
            <a:ext uri="{FF2B5EF4-FFF2-40B4-BE49-F238E27FC236}">
              <a16:creationId xmlns:a16="http://schemas.microsoft.com/office/drawing/2014/main" id="{1A0FA70A-3071-4293-9460-3004ADE1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22155150"/>
          <a:ext cx="9874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19</xdr:row>
      <xdr:rowOff>0</xdr:rowOff>
    </xdr:from>
    <xdr:ext cx="1025525" cy="1428750"/>
    <xdr:pic>
      <xdr:nvPicPr>
        <xdr:cNvPr id="169" name="Picture 168" descr="https://www.tcdb.com/Images/Thumbs/Basketball/25822/25822_3022601Thumb2.jpg">
          <a:extLst>
            <a:ext uri="{FF2B5EF4-FFF2-40B4-BE49-F238E27FC236}">
              <a16:creationId xmlns:a16="http://schemas.microsoft.com/office/drawing/2014/main" id="{C490CF91-FFE0-4666-8CF2-6D17F0AB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23869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12</xdr:row>
      <xdr:rowOff>0</xdr:rowOff>
    </xdr:from>
    <xdr:ext cx="1009650" cy="1428750"/>
    <xdr:pic>
      <xdr:nvPicPr>
        <xdr:cNvPr id="170" name="Picture 169" descr="https://www.tcdb.com/Images/Thumbs/Basketball/2714/2714_3022626RepThumb2.jpg">
          <a:extLst>
            <a:ext uri="{FF2B5EF4-FFF2-40B4-BE49-F238E27FC236}">
              <a16:creationId xmlns:a16="http://schemas.microsoft.com/office/drawing/2014/main" id="{1E85D207-0245-4F5C-92CF-DD766F387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11868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13</xdr:row>
      <xdr:rowOff>0</xdr:rowOff>
    </xdr:from>
    <xdr:ext cx="1009650" cy="1428750"/>
    <xdr:pic>
      <xdr:nvPicPr>
        <xdr:cNvPr id="171" name="Picture 170" descr="https://www.tcdb.com/Images/Thumbs/Basketball/2702/2702_T40-5Thumb2.jpg">
          <a:extLst>
            <a:ext uri="{FF2B5EF4-FFF2-40B4-BE49-F238E27FC236}">
              <a16:creationId xmlns:a16="http://schemas.microsoft.com/office/drawing/2014/main" id="{C684BDDA-EE36-44D5-9620-6A5B531C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04450" y="13582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8</xdr:row>
      <xdr:rowOff>0</xdr:rowOff>
    </xdr:from>
    <xdr:ext cx="1019175" cy="1428750"/>
    <xdr:pic>
      <xdr:nvPicPr>
        <xdr:cNvPr id="172" name="Picture 171" descr="https://www.tcdb.com/Images/Thumbs/Basketball/2705/2705_51Thumb2.jpg">
          <a:extLst>
            <a:ext uri="{FF2B5EF4-FFF2-40B4-BE49-F238E27FC236}">
              <a16:creationId xmlns:a16="http://schemas.microsoft.com/office/drawing/2014/main" id="{3238841F-5D08-4DB3-99E6-FA469E7A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8600" y="5010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6</xdr:row>
      <xdr:rowOff>0</xdr:rowOff>
    </xdr:from>
    <xdr:ext cx="1028700" cy="1428750"/>
    <xdr:pic>
      <xdr:nvPicPr>
        <xdr:cNvPr id="173" name="Picture 172" descr="https://www.tcdb.com/Images/Thumbs/Basketball/2705/2705_123Thumb2.jpg">
          <a:extLst>
            <a:ext uri="{FF2B5EF4-FFF2-40B4-BE49-F238E27FC236}">
              <a16:creationId xmlns:a16="http://schemas.microsoft.com/office/drawing/2014/main" id="{FB43DF65-4A40-4967-8F03-09B2F02CC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8600" y="158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9</xdr:row>
      <xdr:rowOff>0</xdr:rowOff>
    </xdr:from>
    <xdr:ext cx="1019175" cy="1428750"/>
    <xdr:pic>
      <xdr:nvPicPr>
        <xdr:cNvPr id="174" name="Picture 173" descr="https://www.tcdb.com/Images/Thumbs/Basketball/25825/25825_3022731Thumb2.jpg">
          <a:extLst>
            <a:ext uri="{FF2B5EF4-FFF2-40B4-BE49-F238E27FC236}">
              <a16:creationId xmlns:a16="http://schemas.microsoft.com/office/drawing/2014/main" id="{77595A4F-491E-4655-A6ED-4499D0DBB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8600" y="6724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7</xdr:row>
      <xdr:rowOff>0</xdr:rowOff>
    </xdr:from>
    <xdr:ext cx="1019175" cy="1428750"/>
    <xdr:pic>
      <xdr:nvPicPr>
        <xdr:cNvPr id="175" name="Picture 174" descr="https://www.tcdb.com/Images/Thumbs/Basketball/25825/25825_3022803Thumb2.jpg">
          <a:extLst>
            <a:ext uri="{FF2B5EF4-FFF2-40B4-BE49-F238E27FC236}">
              <a16:creationId xmlns:a16="http://schemas.microsoft.com/office/drawing/2014/main" id="{91859A6D-AF68-4A50-A923-5A03CF23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860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10</xdr:row>
      <xdr:rowOff>0</xdr:rowOff>
    </xdr:from>
    <xdr:ext cx="1019175" cy="1428750"/>
    <xdr:pic>
      <xdr:nvPicPr>
        <xdr:cNvPr id="176" name="Picture 175" descr="https://www.tcdb.com/Images/Thumbs/Basketball/25826/25826_3022906Thumb2.jpg">
          <a:extLst>
            <a:ext uri="{FF2B5EF4-FFF2-40B4-BE49-F238E27FC236}">
              <a16:creationId xmlns:a16="http://schemas.microsoft.com/office/drawing/2014/main" id="{B53464C5-99B6-4D64-99A6-0B024A7B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8600" y="8439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11</xdr:row>
      <xdr:rowOff>0</xdr:rowOff>
    </xdr:from>
    <xdr:ext cx="1009650" cy="1428750"/>
    <xdr:pic>
      <xdr:nvPicPr>
        <xdr:cNvPr id="177" name="Picture 176" descr="https://www.tcdb.com/Images/Thumbs/Basketball/25827/25827_3022935Thumb2.jpg">
          <a:extLst>
            <a:ext uri="{FF2B5EF4-FFF2-40B4-BE49-F238E27FC236}">
              <a16:creationId xmlns:a16="http://schemas.microsoft.com/office/drawing/2014/main" id="{F654258C-8F55-4F70-BE71-59C4C0C0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8600" y="10153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12</xdr:row>
      <xdr:rowOff>0</xdr:rowOff>
    </xdr:from>
    <xdr:ext cx="1019175" cy="1428750"/>
    <xdr:pic>
      <xdr:nvPicPr>
        <xdr:cNvPr id="178" name="Picture 177" descr="https://www.tcdb.com/Images/Thumbs/Basketball/25828/25828_3022963Thumb2.jpg">
          <a:extLst>
            <a:ext uri="{FF2B5EF4-FFF2-40B4-BE49-F238E27FC236}">
              <a16:creationId xmlns:a16="http://schemas.microsoft.com/office/drawing/2014/main" id="{0368D033-B9DF-45D2-8A53-9F0C4B1F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8600" y="11868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260</xdr:col>
      <xdr:colOff>0</xdr:colOff>
      <xdr:row>13</xdr:row>
      <xdr:rowOff>0</xdr:rowOff>
    </xdr:from>
    <xdr:ext cx="1019175" cy="1428750"/>
    <xdr:pic>
      <xdr:nvPicPr>
        <xdr:cNvPr id="179" name="Picture 178" descr="https://www.tcdb.com/Images/Thumbs/Basketball/25829/25829_3023002RepThumb2.jpg">
          <a:extLst>
            <a:ext uri="{FF2B5EF4-FFF2-40B4-BE49-F238E27FC236}">
              <a16:creationId xmlns:a16="http://schemas.microsoft.com/office/drawing/2014/main" id="{C4D35DCA-46BD-4AEC-9135-525CF45F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8600" y="13582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6</xdr:row>
      <xdr:rowOff>0</xdr:rowOff>
    </xdr:from>
    <xdr:ext cx="1019175" cy="1428750"/>
    <xdr:pic>
      <xdr:nvPicPr>
        <xdr:cNvPr id="180" name="Picture 179" descr="https://www.tcdb.com/Images/Thumbs/Basketball/2624/2624_695682Thumb2.jpg">
          <a:extLst>
            <a:ext uri="{FF2B5EF4-FFF2-40B4-BE49-F238E27FC236}">
              <a16:creationId xmlns:a16="http://schemas.microsoft.com/office/drawing/2014/main" id="{825FB8C6-52C4-4213-ADE1-4F9CF254F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1581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14</xdr:row>
      <xdr:rowOff>0</xdr:rowOff>
    </xdr:from>
    <xdr:ext cx="1019175" cy="1428750"/>
    <xdr:pic>
      <xdr:nvPicPr>
        <xdr:cNvPr id="181" name="Picture 180" descr="https://www.tcdb.com/Images/Thumbs/Basketball/2624/2624_154Thumb2.jpg">
          <a:extLst>
            <a:ext uri="{FF2B5EF4-FFF2-40B4-BE49-F238E27FC236}">
              <a16:creationId xmlns:a16="http://schemas.microsoft.com/office/drawing/2014/main" id="{0AC67EA3-6859-4F65-975F-E0B600840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15297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8</xdr:row>
      <xdr:rowOff>0</xdr:rowOff>
    </xdr:from>
    <xdr:ext cx="1019175" cy="1428750"/>
    <xdr:pic>
      <xdr:nvPicPr>
        <xdr:cNvPr id="182" name="Picture 181" descr="https://www.tcdb.com/Images/Thumbs/Basketball/2624/2624_271Thumb2.jpg">
          <a:extLst>
            <a:ext uri="{FF2B5EF4-FFF2-40B4-BE49-F238E27FC236}">
              <a16:creationId xmlns:a16="http://schemas.microsoft.com/office/drawing/2014/main" id="{EFBEE255-0225-41C9-85F9-2077ECD81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5010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10</xdr:row>
      <xdr:rowOff>0</xdr:rowOff>
    </xdr:from>
    <xdr:ext cx="1019175" cy="1428750"/>
    <xdr:pic>
      <xdr:nvPicPr>
        <xdr:cNvPr id="183" name="Picture 182" descr="https://www.tcdb.com/Images/Thumbs/Basketball/2624/2624_287Thumb2.jpg">
          <a:extLst>
            <a:ext uri="{FF2B5EF4-FFF2-40B4-BE49-F238E27FC236}">
              <a16:creationId xmlns:a16="http://schemas.microsoft.com/office/drawing/2014/main" id="{3637FAEA-353E-4B0F-B72A-65F41EF7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8439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17318</xdr:colOff>
      <xdr:row>18</xdr:row>
      <xdr:rowOff>34636</xdr:rowOff>
    </xdr:from>
    <xdr:ext cx="981075" cy="1428750"/>
    <xdr:pic>
      <xdr:nvPicPr>
        <xdr:cNvPr id="184" name="Picture 183" descr="https://www.tcdb.com/Images/Thumbs/Basketball/25765/25765_3015771RepThumb2.jpg">
          <a:extLst>
            <a:ext uri="{FF2B5EF4-FFF2-40B4-BE49-F238E27FC236}">
              <a16:creationId xmlns:a16="http://schemas.microsoft.com/office/drawing/2014/main" id="{DBDE5130-2D26-437B-A636-42ADB2F28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2818" y="22189786"/>
          <a:ext cx="9810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12</xdr:row>
      <xdr:rowOff>0</xdr:rowOff>
    </xdr:from>
    <xdr:ext cx="1028700" cy="1428750"/>
    <xdr:pic>
      <xdr:nvPicPr>
        <xdr:cNvPr id="185" name="Picture 184" descr="https://www.tcdb.com/Images/Thumbs/Basketball/25765/25765_3015804Thumb2.jpg">
          <a:extLst>
            <a:ext uri="{FF2B5EF4-FFF2-40B4-BE49-F238E27FC236}">
              <a16:creationId xmlns:a16="http://schemas.microsoft.com/office/drawing/2014/main" id="{4ED21A02-B43B-41D3-ABE7-75A454A77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11868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13</xdr:row>
      <xdr:rowOff>0</xdr:rowOff>
    </xdr:from>
    <xdr:ext cx="1009650" cy="1428750"/>
    <xdr:pic>
      <xdr:nvPicPr>
        <xdr:cNvPr id="186" name="Picture 185" descr="https://www.tcdb.com/Images/Thumbs/Basketball/25766/25766_3015910RepThumb2.jpg">
          <a:extLst>
            <a:ext uri="{FF2B5EF4-FFF2-40B4-BE49-F238E27FC236}">
              <a16:creationId xmlns:a16="http://schemas.microsoft.com/office/drawing/2014/main" id="{C6E78B0E-6977-4A34-91BE-055F734B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13582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7</xdr:row>
      <xdr:rowOff>0</xdr:rowOff>
    </xdr:from>
    <xdr:ext cx="1019175" cy="1428750"/>
    <xdr:pic>
      <xdr:nvPicPr>
        <xdr:cNvPr id="187" name="Picture 186" descr="https://www.tcdb.com/Images/Thumbs/Basketball/2625/2625_696060RepThumb2.jpg">
          <a:extLst>
            <a:ext uri="{FF2B5EF4-FFF2-40B4-BE49-F238E27FC236}">
              <a16:creationId xmlns:a16="http://schemas.microsoft.com/office/drawing/2014/main" id="{961D247E-479E-4515-AB4A-ADE02E477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15</xdr:row>
      <xdr:rowOff>0</xdr:rowOff>
    </xdr:from>
    <xdr:ext cx="1028700" cy="1428750"/>
    <xdr:pic>
      <xdr:nvPicPr>
        <xdr:cNvPr id="188" name="Picture 187" descr="https://www.tcdb.com/Images/Thumbs/Basketball/2625/2625_696175Thumb2.jpg">
          <a:extLst>
            <a:ext uri="{FF2B5EF4-FFF2-40B4-BE49-F238E27FC236}">
              <a16:creationId xmlns:a16="http://schemas.microsoft.com/office/drawing/2014/main" id="{BB4EDAAC-2BE6-4464-A330-B3910182C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17011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9</xdr:row>
      <xdr:rowOff>0</xdr:rowOff>
    </xdr:from>
    <xdr:ext cx="1028700" cy="1428750"/>
    <xdr:pic>
      <xdr:nvPicPr>
        <xdr:cNvPr id="189" name="Picture 188" descr="https://www.tcdb.com/Images/Thumbs/Basketball/2625/2625_696292Thumb2.jpg">
          <a:extLst>
            <a:ext uri="{FF2B5EF4-FFF2-40B4-BE49-F238E27FC236}">
              <a16:creationId xmlns:a16="http://schemas.microsoft.com/office/drawing/2014/main" id="{10714C45-9EA7-4D53-B719-3E4878F4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6724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284</xdr:col>
      <xdr:colOff>0</xdr:colOff>
      <xdr:row>11</xdr:row>
      <xdr:rowOff>0</xdr:rowOff>
    </xdr:from>
    <xdr:ext cx="1028700" cy="1428750"/>
    <xdr:pic>
      <xdr:nvPicPr>
        <xdr:cNvPr id="190" name="Picture 189" descr="https://www.tcdb.com/Images/Thumbs/Basketball/2625/2625_696308Thumb2.jpg">
          <a:extLst>
            <a:ext uri="{FF2B5EF4-FFF2-40B4-BE49-F238E27FC236}">
              <a16:creationId xmlns:a16="http://schemas.microsoft.com/office/drawing/2014/main" id="{95CE5BDF-8F9E-44C7-8820-DEBD945F8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10153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6</xdr:row>
      <xdr:rowOff>0</xdr:rowOff>
    </xdr:from>
    <xdr:ext cx="1028700" cy="1428750"/>
    <xdr:pic>
      <xdr:nvPicPr>
        <xdr:cNvPr id="191" name="Picture 190" descr="https://www.tcdb.com/Images/Thumbs/Basketball/2692/2692_118Thumb2.jpg">
          <a:extLst>
            <a:ext uri="{FF2B5EF4-FFF2-40B4-BE49-F238E27FC236}">
              <a16:creationId xmlns:a16="http://schemas.microsoft.com/office/drawing/2014/main" id="{ADBEEA19-42A9-40D7-944D-B30FA4DE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158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17318</xdr:colOff>
      <xdr:row>8</xdr:row>
      <xdr:rowOff>17319</xdr:rowOff>
    </xdr:from>
    <xdr:ext cx="1025525" cy="1428750"/>
    <xdr:pic>
      <xdr:nvPicPr>
        <xdr:cNvPr id="192" name="Picture 191" descr="https://www.tcdb.com/Images/Thumbs/Basketball/25811/25811_3020074Thumb2.jpg">
          <a:extLst>
            <a:ext uri="{FF2B5EF4-FFF2-40B4-BE49-F238E27FC236}">
              <a16:creationId xmlns:a16="http://schemas.microsoft.com/office/drawing/2014/main" id="{990B6263-0E66-4987-BAC8-66E7EC9B2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25318" y="5027469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17318</xdr:colOff>
      <xdr:row>7</xdr:row>
      <xdr:rowOff>0</xdr:rowOff>
    </xdr:from>
    <xdr:ext cx="1009650" cy="1428750"/>
    <xdr:pic>
      <xdr:nvPicPr>
        <xdr:cNvPr id="193" name="Picture 192" descr="https://www.tcdb.com/Images/Thumbs/Basketball/25813/25813_3020469Thumb2.jpg">
          <a:extLst>
            <a:ext uri="{FF2B5EF4-FFF2-40B4-BE49-F238E27FC236}">
              <a16:creationId xmlns:a16="http://schemas.microsoft.com/office/drawing/2014/main" id="{3775F96D-2AEF-4C1D-A8F9-CEFF2972E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25318" y="3295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10</xdr:row>
      <xdr:rowOff>0</xdr:rowOff>
    </xdr:from>
    <xdr:ext cx="1025525" cy="1428750"/>
    <xdr:pic>
      <xdr:nvPicPr>
        <xdr:cNvPr id="194" name="Picture 193" descr="https://www.tcdb.com/Images/Thumbs/Basketball/2692/2692_5Thumb2.jpg">
          <a:extLst>
            <a:ext uri="{FF2B5EF4-FFF2-40B4-BE49-F238E27FC236}">
              <a16:creationId xmlns:a16="http://schemas.microsoft.com/office/drawing/2014/main" id="{2B859045-5B29-4397-9570-AE9604D2F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8439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11</xdr:row>
      <xdr:rowOff>0</xdr:rowOff>
    </xdr:from>
    <xdr:ext cx="1025525" cy="1428750"/>
    <xdr:pic>
      <xdr:nvPicPr>
        <xdr:cNvPr id="195" name="Picture 194" descr="https://www.tcdb.com/Images/Thumbs/Basketball/25811/25811_3019961Thumb2.jpg">
          <a:extLst>
            <a:ext uri="{FF2B5EF4-FFF2-40B4-BE49-F238E27FC236}">
              <a16:creationId xmlns:a16="http://schemas.microsoft.com/office/drawing/2014/main" id="{E6C19732-510A-4DE4-9001-08BEB7C09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10153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12</xdr:row>
      <xdr:rowOff>0</xdr:rowOff>
    </xdr:from>
    <xdr:ext cx="1028700" cy="1428750"/>
    <xdr:pic>
      <xdr:nvPicPr>
        <xdr:cNvPr id="196" name="Picture 195" descr="https://www.tcdb.com/Images/Thumbs/Basketball/25812/25812_3020229Thumb2.jpg">
          <a:extLst>
            <a:ext uri="{FF2B5EF4-FFF2-40B4-BE49-F238E27FC236}">
              <a16:creationId xmlns:a16="http://schemas.microsoft.com/office/drawing/2014/main" id="{19C9EA0B-A0C6-402E-9486-50AF8319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11868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22</xdr:row>
      <xdr:rowOff>0</xdr:rowOff>
    </xdr:from>
    <xdr:ext cx="1025525" cy="1428750"/>
    <xdr:pic>
      <xdr:nvPicPr>
        <xdr:cNvPr id="197" name="Picture 196" descr="https://www.tcdb.com/Images/Thumbs/Basketball/2695/2695_H1Thumb2.jpg">
          <a:extLst>
            <a:ext uri="{FF2B5EF4-FFF2-40B4-BE49-F238E27FC236}">
              <a16:creationId xmlns:a16="http://schemas.microsoft.com/office/drawing/2014/main" id="{ABC456C1-DFE8-4426-B26F-B59889770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29013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24</xdr:row>
      <xdr:rowOff>0</xdr:rowOff>
    </xdr:from>
    <xdr:ext cx="1025525" cy="1428750"/>
    <xdr:pic>
      <xdr:nvPicPr>
        <xdr:cNvPr id="198" name="Picture 197" descr="https://www.tcdb.com/Images/Thumbs/Basketball/2697/2697_HS10Thumb2.jpg">
          <a:extLst>
            <a:ext uri="{FF2B5EF4-FFF2-40B4-BE49-F238E27FC236}">
              <a16:creationId xmlns:a16="http://schemas.microsoft.com/office/drawing/2014/main" id="{D0E8CE93-4EC7-492B-905A-8388ACCB5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32442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25</xdr:row>
      <xdr:rowOff>0</xdr:rowOff>
    </xdr:from>
    <xdr:ext cx="1028700" cy="1428750"/>
    <xdr:pic>
      <xdr:nvPicPr>
        <xdr:cNvPr id="199" name="Picture 198" descr="https://www.tcdb.com/Images/Thumbs/Basketball/278581/278581_16973548Thumb2.jpg">
          <a:extLst>
            <a:ext uri="{FF2B5EF4-FFF2-40B4-BE49-F238E27FC236}">
              <a16:creationId xmlns:a16="http://schemas.microsoft.com/office/drawing/2014/main" id="{C795A365-D83C-4224-8555-2B1FCC01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34156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13</xdr:row>
      <xdr:rowOff>0</xdr:rowOff>
    </xdr:from>
    <xdr:ext cx="1025525" cy="1428750"/>
    <xdr:pic>
      <xdr:nvPicPr>
        <xdr:cNvPr id="200" name="Picture 199" descr="https://www.tcdb.com/Images/Thumbs/Basketball/25815/25815_3020629Thumb2.jpg">
          <a:extLst>
            <a:ext uri="{FF2B5EF4-FFF2-40B4-BE49-F238E27FC236}">
              <a16:creationId xmlns:a16="http://schemas.microsoft.com/office/drawing/2014/main" id="{4F128D32-242D-477C-9152-794C6967E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13582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9</xdr:row>
      <xdr:rowOff>0</xdr:rowOff>
    </xdr:from>
    <xdr:ext cx="1009650" cy="1428750"/>
    <xdr:pic>
      <xdr:nvPicPr>
        <xdr:cNvPr id="201" name="Picture 200" descr="https://www.tcdb.com/Images/Thumbs/Basketball/25815/25815_3020742Thumb2.jpg">
          <a:extLst>
            <a:ext uri="{FF2B5EF4-FFF2-40B4-BE49-F238E27FC236}">
              <a16:creationId xmlns:a16="http://schemas.microsoft.com/office/drawing/2014/main" id="{559646C8-3A70-4D1C-B656-3E75C42C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6724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27</xdr:row>
      <xdr:rowOff>0</xdr:rowOff>
    </xdr:from>
    <xdr:ext cx="1025525" cy="1428750"/>
    <xdr:pic>
      <xdr:nvPicPr>
        <xdr:cNvPr id="202" name="Picture 201" descr="https://www.tcdb.com/Images/Thumbs/Basketball/278616/278616_16975955Thumb2.jpg">
          <a:extLst>
            <a:ext uri="{FF2B5EF4-FFF2-40B4-BE49-F238E27FC236}">
              <a16:creationId xmlns:a16="http://schemas.microsoft.com/office/drawing/2014/main" id="{11855FE2-4B66-4C6E-B37F-180F7260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375856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29</xdr:row>
      <xdr:rowOff>0</xdr:rowOff>
    </xdr:from>
    <xdr:ext cx="1006475" cy="1428750"/>
    <xdr:pic>
      <xdr:nvPicPr>
        <xdr:cNvPr id="203" name="Picture 202" descr="https://www.tcdb.com/Images/Thumbs/Basketball/278617/278617_16975984Thumb2.jpg">
          <a:extLst>
            <a:ext uri="{FF2B5EF4-FFF2-40B4-BE49-F238E27FC236}">
              <a16:creationId xmlns:a16="http://schemas.microsoft.com/office/drawing/2014/main" id="{5A52FCE2-7569-47EE-A6AC-BB2B8A1B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410146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15</xdr:row>
      <xdr:rowOff>0</xdr:rowOff>
    </xdr:from>
    <xdr:ext cx="1028700" cy="1428750"/>
    <xdr:pic>
      <xdr:nvPicPr>
        <xdr:cNvPr id="204" name="Picture 203" descr="https://www.tcdb.com/Images/Thumbs/Basketball/278582/278582_16973554Thumb2.jpg">
          <a:extLst>
            <a:ext uri="{FF2B5EF4-FFF2-40B4-BE49-F238E27FC236}">
              <a16:creationId xmlns:a16="http://schemas.microsoft.com/office/drawing/2014/main" id="{B7B10C51-3A6B-434F-B764-D10CAE05D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17011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19</xdr:row>
      <xdr:rowOff>0</xdr:rowOff>
    </xdr:from>
    <xdr:ext cx="1044575" cy="1428750"/>
    <xdr:pic>
      <xdr:nvPicPr>
        <xdr:cNvPr id="205" name="Picture 204" descr="https://www.tcdb.com/Images/Thumbs/Basketball/278582/278582_16976004Thumb2.jpg">
          <a:extLst>
            <a:ext uri="{FF2B5EF4-FFF2-40B4-BE49-F238E27FC236}">
              <a16:creationId xmlns:a16="http://schemas.microsoft.com/office/drawing/2014/main" id="{BCE94731-8CEB-490A-8975-FA462C28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23869650"/>
          <a:ext cx="10445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26</xdr:row>
      <xdr:rowOff>0</xdr:rowOff>
    </xdr:from>
    <xdr:ext cx="1028700" cy="1428750"/>
    <xdr:pic>
      <xdr:nvPicPr>
        <xdr:cNvPr id="206" name="Picture 205" descr="https://www.tcdb.com/Images/Thumbs/Basketball/2698/2698_3020605RepThumb2.jpg">
          <a:extLst>
            <a:ext uri="{FF2B5EF4-FFF2-40B4-BE49-F238E27FC236}">
              <a16:creationId xmlns:a16="http://schemas.microsoft.com/office/drawing/2014/main" id="{4FC8593E-6B7E-4A0F-8C54-5883BE83A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3587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28</xdr:row>
      <xdr:rowOff>0</xdr:rowOff>
    </xdr:from>
    <xdr:ext cx="1006475" cy="1428750"/>
    <xdr:pic>
      <xdr:nvPicPr>
        <xdr:cNvPr id="207" name="Picture 206" descr="https://www.tcdb.com/Images/Thumbs/Basketball/2699/2699_RC6Thumb2.jpg">
          <a:extLst>
            <a:ext uri="{FF2B5EF4-FFF2-40B4-BE49-F238E27FC236}">
              <a16:creationId xmlns:a16="http://schemas.microsoft.com/office/drawing/2014/main" id="{E55421C5-0A7D-4486-9BCC-7756E5CA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393001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16</xdr:row>
      <xdr:rowOff>0</xdr:rowOff>
    </xdr:from>
    <xdr:ext cx="1025525" cy="1428750"/>
    <xdr:pic>
      <xdr:nvPicPr>
        <xdr:cNvPr id="208" name="Picture 207" descr="https://www.tcdb.com/Images/Thumbs/Basketball/25818/25818_3021942Thumb2.jpg">
          <a:extLst>
            <a:ext uri="{FF2B5EF4-FFF2-40B4-BE49-F238E27FC236}">
              <a16:creationId xmlns:a16="http://schemas.microsoft.com/office/drawing/2014/main" id="{2832759A-BD9A-4C55-943F-6C492E500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18726150"/>
          <a:ext cx="10255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14</xdr:row>
      <xdr:rowOff>0</xdr:rowOff>
    </xdr:from>
    <xdr:ext cx="1028700" cy="1428750"/>
    <xdr:pic>
      <xdr:nvPicPr>
        <xdr:cNvPr id="209" name="Picture 208" descr="https://www.tcdb.com/Images/Thumbs/Basketball/2700/2700_3021846Thumb2.jpg">
          <a:extLst>
            <a:ext uri="{FF2B5EF4-FFF2-40B4-BE49-F238E27FC236}">
              <a16:creationId xmlns:a16="http://schemas.microsoft.com/office/drawing/2014/main" id="{41410A5E-9B06-459C-AB40-C099D750D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15297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18</xdr:row>
      <xdr:rowOff>0</xdr:rowOff>
    </xdr:from>
    <xdr:ext cx="1006475" cy="1428750"/>
    <xdr:pic>
      <xdr:nvPicPr>
        <xdr:cNvPr id="210" name="Picture 209" descr="https://www.tcdb.com/Images/Thumbs/Basketball/2700/2700_3021870Thumb2.jpg">
          <a:extLst>
            <a:ext uri="{FF2B5EF4-FFF2-40B4-BE49-F238E27FC236}">
              <a16:creationId xmlns:a16="http://schemas.microsoft.com/office/drawing/2014/main" id="{0F8B18F0-F5D4-433D-8322-92D6EBB7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22155150"/>
          <a:ext cx="10064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6</xdr:row>
      <xdr:rowOff>0</xdr:rowOff>
    </xdr:from>
    <xdr:ext cx="1028700" cy="1428750"/>
    <xdr:pic>
      <xdr:nvPicPr>
        <xdr:cNvPr id="211" name="Picture 210" descr="https://www.tcdb.com/Images/Thumbs/Basketball/2610/2610_60Thumb2.jpg">
          <a:extLst>
            <a:ext uri="{FF2B5EF4-FFF2-40B4-BE49-F238E27FC236}">
              <a16:creationId xmlns:a16="http://schemas.microsoft.com/office/drawing/2014/main" id="{C4A0D6DD-09CF-428A-B4CF-04DDB108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158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9</xdr:row>
      <xdr:rowOff>0</xdr:rowOff>
    </xdr:from>
    <xdr:ext cx="1028700" cy="1428750"/>
    <xdr:pic>
      <xdr:nvPicPr>
        <xdr:cNvPr id="212" name="Picture 211" descr="https://www.tcdb.com/Images/Thumbs/Basketball/2610/2610_96Thumb2.jpg">
          <a:extLst>
            <a:ext uri="{FF2B5EF4-FFF2-40B4-BE49-F238E27FC236}">
              <a16:creationId xmlns:a16="http://schemas.microsoft.com/office/drawing/2014/main" id="{8B2C79AA-12FB-4E55-9510-22D003221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6724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8</xdr:row>
      <xdr:rowOff>0</xdr:rowOff>
    </xdr:from>
    <xdr:ext cx="1016000" cy="1428750"/>
    <xdr:pic>
      <xdr:nvPicPr>
        <xdr:cNvPr id="213" name="Picture 212" descr="https://www.tcdb.com/Images/Thumbs/Basketball/25740/25740_3014711Thumb2.jpg">
          <a:extLst>
            <a:ext uri="{FF2B5EF4-FFF2-40B4-BE49-F238E27FC236}">
              <a16:creationId xmlns:a16="http://schemas.microsoft.com/office/drawing/2014/main" id="{375C8F53-48F8-4513-88B3-3E9549FC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5010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11</xdr:row>
      <xdr:rowOff>0</xdr:rowOff>
    </xdr:from>
    <xdr:ext cx="1009650" cy="1428750"/>
    <xdr:pic>
      <xdr:nvPicPr>
        <xdr:cNvPr id="214" name="Picture 213" descr="https://www.tcdb.com/Images/Thumbs/Basketball/25740/25740_3014747Thumb2.jpg">
          <a:extLst>
            <a:ext uri="{FF2B5EF4-FFF2-40B4-BE49-F238E27FC236}">
              <a16:creationId xmlns:a16="http://schemas.microsoft.com/office/drawing/2014/main" id="{10F2EAFB-177A-4C0A-97F0-05CB6B44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10153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12</xdr:row>
      <xdr:rowOff>0</xdr:rowOff>
    </xdr:from>
    <xdr:ext cx="1028700" cy="1428750"/>
    <xdr:pic>
      <xdr:nvPicPr>
        <xdr:cNvPr id="215" name="Picture 214" descr="https://www.tcdb.com/Images/Thumbs/Basketball/2612/2612_MI1Thumb2.jpg">
          <a:extLst>
            <a:ext uri="{FF2B5EF4-FFF2-40B4-BE49-F238E27FC236}">
              <a16:creationId xmlns:a16="http://schemas.microsoft.com/office/drawing/2014/main" id="{29844A14-006A-4852-90CC-76ACF97E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11868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14</xdr:row>
      <xdr:rowOff>0</xdr:rowOff>
    </xdr:from>
    <xdr:ext cx="1028700" cy="1428750"/>
    <xdr:pic>
      <xdr:nvPicPr>
        <xdr:cNvPr id="216" name="Picture 215" descr="https://www.tcdb.com/Images/Thumbs/Basketball/25746/25746_MI1Thumb2.jpg">
          <a:extLst>
            <a:ext uri="{FF2B5EF4-FFF2-40B4-BE49-F238E27FC236}">
              <a16:creationId xmlns:a16="http://schemas.microsoft.com/office/drawing/2014/main" id="{9E07F10F-6E3E-4432-B1C3-4A87684F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15297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13</xdr:row>
      <xdr:rowOff>0</xdr:rowOff>
    </xdr:from>
    <xdr:ext cx="1028700" cy="1428750"/>
    <xdr:pic>
      <xdr:nvPicPr>
        <xdr:cNvPr id="217" name="Picture 216" descr="https://www.tcdb.com/Images/Thumbs/Basketball/25747/25747_MI1Thumb2.jpg">
          <a:extLst>
            <a:ext uri="{FF2B5EF4-FFF2-40B4-BE49-F238E27FC236}">
              <a16:creationId xmlns:a16="http://schemas.microsoft.com/office/drawing/2014/main" id="{4AF41208-9845-429C-9B3E-C8410A07A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13582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7</xdr:row>
      <xdr:rowOff>0</xdr:rowOff>
    </xdr:from>
    <xdr:ext cx="996950" cy="1428750"/>
    <xdr:pic>
      <xdr:nvPicPr>
        <xdr:cNvPr id="218" name="Picture 217" descr="https://www.tcdb.com/Images/Thumbs/Basketball/25750/25750_3014959Thumb2.jpg">
          <a:extLst>
            <a:ext uri="{FF2B5EF4-FFF2-40B4-BE49-F238E27FC236}">
              <a16:creationId xmlns:a16="http://schemas.microsoft.com/office/drawing/2014/main" id="{A170D278-F198-4DEF-BB09-B77F8A4F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32956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10</xdr:row>
      <xdr:rowOff>0</xdr:rowOff>
    </xdr:from>
    <xdr:ext cx="1016000" cy="1428750"/>
    <xdr:pic>
      <xdr:nvPicPr>
        <xdr:cNvPr id="219" name="Picture 218" descr="https://www.tcdb.com/Images/Thumbs/Basketball/25750/25750_3014995Thumb2.jpg">
          <a:extLst>
            <a:ext uri="{FF2B5EF4-FFF2-40B4-BE49-F238E27FC236}">
              <a16:creationId xmlns:a16="http://schemas.microsoft.com/office/drawing/2014/main" id="{76487194-E1AF-4983-A41D-9F191EFEA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8439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15</xdr:row>
      <xdr:rowOff>0</xdr:rowOff>
    </xdr:from>
    <xdr:ext cx="1016000" cy="1428750"/>
    <xdr:pic>
      <xdr:nvPicPr>
        <xdr:cNvPr id="220" name="Picture 219" descr="https://www.tcdb.com/Images/Thumbs/Basketball/2614/2614_T2Thumb2.jpg">
          <a:extLst>
            <a:ext uri="{FF2B5EF4-FFF2-40B4-BE49-F238E27FC236}">
              <a16:creationId xmlns:a16="http://schemas.microsoft.com/office/drawing/2014/main" id="{4AAA7432-A5AA-4AD7-A247-CAAB607FA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17011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17</xdr:row>
      <xdr:rowOff>0</xdr:rowOff>
    </xdr:from>
    <xdr:ext cx="1028700" cy="1428750"/>
    <xdr:pic>
      <xdr:nvPicPr>
        <xdr:cNvPr id="221" name="Picture 220" descr="https://www.tcdb.com/Images/Thumbs/Basketball/25751/25751_3015026Thumb2.jpg">
          <a:extLst>
            <a:ext uri="{FF2B5EF4-FFF2-40B4-BE49-F238E27FC236}">
              <a16:creationId xmlns:a16="http://schemas.microsoft.com/office/drawing/2014/main" id="{11D6BE94-0FC8-4D9E-ABBB-903CDBE6C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20440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296</xdr:col>
      <xdr:colOff>0</xdr:colOff>
      <xdr:row>16</xdr:row>
      <xdr:rowOff>0</xdr:rowOff>
    </xdr:from>
    <xdr:ext cx="996950" cy="1428750"/>
    <xdr:pic>
      <xdr:nvPicPr>
        <xdr:cNvPr id="222" name="Picture 221" descr="https://www.tcdb.com/Images/Thumbs/Basketball/25752/25752_3015036Thumb2.jpg">
          <a:extLst>
            <a:ext uri="{FF2B5EF4-FFF2-40B4-BE49-F238E27FC236}">
              <a16:creationId xmlns:a16="http://schemas.microsoft.com/office/drawing/2014/main" id="{13A1CD52-B3A6-4F1C-9E50-78963221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49650" y="187261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17318</xdr:colOff>
      <xdr:row>26</xdr:row>
      <xdr:rowOff>0</xdr:rowOff>
    </xdr:from>
    <xdr:ext cx="1009650" cy="1428750"/>
    <xdr:pic>
      <xdr:nvPicPr>
        <xdr:cNvPr id="223" name="Picture 222" descr="https://www.tcdb.com/Images/Thumbs/Basketball/25710/25710_3011553Thumb2.jpg">
          <a:extLst>
            <a:ext uri="{FF2B5EF4-FFF2-40B4-BE49-F238E27FC236}">
              <a16:creationId xmlns:a16="http://schemas.microsoft.com/office/drawing/2014/main" id="{6DFC9A38-4921-4EBC-85F9-AB0E44EE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09318" y="35871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17318</xdr:colOff>
      <xdr:row>27</xdr:row>
      <xdr:rowOff>20493</xdr:rowOff>
    </xdr:from>
    <xdr:ext cx="1016000" cy="1428750"/>
    <xdr:pic>
      <xdr:nvPicPr>
        <xdr:cNvPr id="224" name="Picture 223" descr="https://www.tcdb.com/Images/Thumbs/Basketball/2549/2549_3011578Thumb2.jpg">
          <a:extLst>
            <a:ext uri="{FF2B5EF4-FFF2-40B4-BE49-F238E27FC236}">
              <a16:creationId xmlns:a16="http://schemas.microsoft.com/office/drawing/2014/main" id="{A372F204-4D38-4C04-8B68-A72A6B38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09318" y="37606143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23</xdr:row>
      <xdr:rowOff>0</xdr:rowOff>
    </xdr:from>
    <xdr:ext cx="1028700" cy="1428750"/>
    <xdr:pic>
      <xdr:nvPicPr>
        <xdr:cNvPr id="225" name="Picture 224" descr="https://www.tcdb.com/Images/Thumbs/Basketball/25666/25666_24Thumb2.jpg">
          <a:extLst>
            <a:ext uri="{FF2B5EF4-FFF2-40B4-BE49-F238E27FC236}">
              <a16:creationId xmlns:a16="http://schemas.microsoft.com/office/drawing/2014/main" id="{878C05AD-590E-4020-9E86-479AB4010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30727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24</xdr:row>
      <xdr:rowOff>0</xdr:rowOff>
    </xdr:from>
    <xdr:ext cx="1028700" cy="1428750"/>
    <xdr:pic>
      <xdr:nvPicPr>
        <xdr:cNvPr id="226" name="Picture 225" descr="https://www.tcdb.com/Images/Thumbs/Basketball/25667/25667_3008389Thumb2.jpg">
          <a:extLst>
            <a:ext uri="{FF2B5EF4-FFF2-40B4-BE49-F238E27FC236}">
              <a16:creationId xmlns:a16="http://schemas.microsoft.com/office/drawing/2014/main" id="{149C9D93-04DD-4015-A6F6-A1278C05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6200" y="32442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6</xdr:row>
      <xdr:rowOff>0</xdr:rowOff>
    </xdr:from>
    <xdr:ext cx="1009650" cy="1428750"/>
    <xdr:pic>
      <xdr:nvPicPr>
        <xdr:cNvPr id="227" name="Picture 226" descr="https://www.tcdb.com/Images/Thumbs/Basketball/2172/2172_1Thumb2.jpg">
          <a:extLst>
            <a:ext uri="{FF2B5EF4-FFF2-40B4-BE49-F238E27FC236}">
              <a16:creationId xmlns:a16="http://schemas.microsoft.com/office/drawing/2014/main" id="{9B9D909F-729A-4DD2-9D66-61192FF4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00" y="1571625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23</xdr:row>
      <xdr:rowOff>0</xdr:rowOff>
    </xdr:from>
    <xdr:ext cx="1016000" cy="1428750"/>
    <xdr:pic>
      <xdr:nvPicPr>
        <xdr:cNvPr id="228" name="Picture 227" descr="https://www.tcdb.com/Images/Thumbs/Basketball/2695/2695_H1Thumb2.jpg">
          <a:extLst>
            <a:ext uri="{FF2B5EF4-FFF2-40B4-BE49-F238E27FC236}">
              <a16:creationId xmlns:a16="http://schemas.microsoft.com/office/drawing/2014/main" id="{B9319972-D69A-4BC8-B6E9-8C88F345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30727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20</xdr:row>
      <xdr:rowOff>0</xdr:rowOff>
    </xdr:from>
    <xdr:ext cx="1009650" cy="1428750"/>
    <xdr:pic>
      <xdr:nvPicPr>
        <xdr:cNvPr id="229" name="Picture 228" descr="https://www.tcdb.com/Images/Thumbs/Basketball/25817/25817_3021918Thumb2.jpg">
          <a:extLst>
            <a:ext uri="{FF2B5EF4-FFF2-40B4-BE49-F238E27FC236}">
              <a16:creationId xmlns:a16="http://schemas.microsoft.com/office/drawing/2014/main" id="{70B2EF37-029F-4C3B-94C2-F693420D7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25584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0</xdr:colOff>
      <xdr:row>21</xdr:row>
      <xdr:rowOff>0</xdr:rowOff>
    </xdr:from>
    <xdr:ext cx="1035050" cy="1428750"/>
    <xdr:pic>
      <xdr:nvPicPr>
        <xdr:cNvPr id="230" name="Picture 229" descr="https://www.tcdb.com/Images/Thumbs/Basketball/278582/278582_16976004Thumb2.jpg">
          <a:extLst>
            <a:ext uri="{FF2B5EF4-FFF2-40B4-BE49-F238E27FC236}">
              <a16:creationId xmlns:a16="http://schemas.microsoft.com/office/drawing/2014/main" id="{68C24C9A-90D4-463B-B36B-3C315889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00" y="27298650"/>
          <a:ext cx="10350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8</xdr:row>
      <xdr:rowOff>0</xdr:rowOff>
    </xdr:from>
    <xdr:ext cx="1016000" cy="1428750"/>
    <xdr:pic>
      <xdr:nvPicPr>
        <xdr:cNvPr id="231" name="Picture 230" descr="https://www.tcdb.com/Images/Thumbs/Basketball/2220/2220_8399934Thumb2.jpg">
          <a:extLst>
            <a:ext uri="{FF2B5EF4-FFF2-40B4-BE49-F238E27FC236}">
              <a16:creationId xmlns:a16="http://schemas.microsoft.com/office/drawing/2014/main" id="{800B43E3-F5AA-4E7E-B68E-F4224B24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30200" y="5010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30232</xdr:colOff>
      <xdr:row>8</xdr:row>
      <xdr:rowOff>35944</xdr:rowOff>
    </xdr:from>
    <xdr:ext cx="994155" cy="1401047"/>
    <xdr:pic>
      <xdr:nvPicPr>
        <xdr:cNvPr id="232" name="Picture 231" descr="MICHAEL JORDAN 1997-98 STADIUM CLUB TRIUMVIRATE ILLUMINATOR BGS 9.5!  VARIATION! - Picture 1 of 6">
          <a:extLst>
            <a:ext uri="{FF2B5EF4-FFF2-40B4-BE49-F238E27FC236}">
              <a16:creationId xmlns:a16="http://schemas.microsoft.com/office/drawing/2014/main" id="{EABB9097-C0C9-48E4-974D-2CFC4EEAC6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30" t="23459" r="11831" b="6667"/>
        <a:stretch/>
      </xdr:blipFill>
      <xdr:spPr bwMode="auto">
        <a:xfrm>
          <a:off x="6027807" y="5046094"/>
          <a:ext cx="994155" cy="1401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272</xdr:col>
      <xdr:colOff>35945</xdr:colOff>
      <xdr:row>17</xdr:row>
      <xdr:rowOff>35943</xdr:rowOff>
    </xdr:from>
    <xdr:ext cx="1009650" cy="1428750"/>
    <xdr:pic>
      <xdr:nvPicPr>
        <xdr:cNvPr id="233" name="Picture 232">
          <a:extLst>
            <a:ext uri="{FF2B5EF4-FFF2-40B4-BE49-F238E27FC236}">
              <a16:creationId xmlns:a16="http://schemas.microsoft.com/office/drawing/2014/main" id="{8A814644-9D5D-4332-BB81-0B9D6368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43945" y="20476593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145</xdr:col>
      <xdr:colOff>0</xdr:colOff>
      <xdr:row>16</xdr:row>
      <xdr:rowOff>0</xdr:rowOff>
    </xdr:from>
    <xdr:ext cx="304800" cy="304800"/>
    <xdr:sp macro="" textlink="">
      <xdr:nvSpPr>
        <xdr:cNvPr id="234" name="AutoShape 1" descr="1995-96 Topps Stadium Club - Warp Speed Members Only #WS1 Michael Jordan">
          <a:extLst>
            <a:ext uri="{FF2B5EF4-FFF2-40B4-BE49-F238E27FC236}">
              <a16:creationId xmlns:a16="http://schemas.microsoft.com/office/drawing/2014/main" id="{59C621F3-4870-49CC-B997-B7A578601038}"/>
            </a:ext>
          </a:extLst>
        </xdr:cNvPr>
        <xdr:cNvSpPr>
          <a:spLocks noChangeAspect="1" noChangeArrowheads="1"/>
        </xdr:cNvSpPr>
      </xdr:nvSpPr>
      <xdr:spPr bwMode="auto">
        <a:xfrm>
          <a:off x="95262700" y="1872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284</xdr:col>
      <xdr:colOff>7792</xdr:colOff>
      <xdr:row>17</xdr:row>
      <xdr:rowOff>20494</xdr:rowOff>
    </xdr:from>
    <xdr:ext cx="1027012" cy="1426464"/>
    <xdr:pic>
      <xdr:nvPicPr>
        <xdr:cNvPr id="235" name="Picture 234" descr="1997-98 FINEST ATOMIC REFRACTORS MICHAEL JORDAN GOLD #154 *BGS GEM MINT 9.5. - Picture 1 of 2">
          <a:extLst>
            <a:ext uri="{FF2B5EF4-FFF2-40B4-BE49-F238E27FC236}">
              <a16:creationId xmlns:a16="http://schemas.microsoft.com/office/drawing/2014/main" id="{6F833AAA-4C8D-48A7-BD5A-715D4D262A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52" t="28182" r="16525" b="8182"/>
        <a:stretch/>
      </xdr:blipFill>
      <xdr:spPr bwMode="auto">
        <a:xfrm>
          <a:off x="186256467" y="20461144"/>
          <a:ext cx="102701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248</xdr:col>
      <xdr:colOff>0</xdr:colOff>
      <xdr:row>10</xdr:row>
      <xdr:rowOff>0</xdr:rowOff>
    </xdr:from>
    <xdr:ext cx="1036240" cy="1426464"/>
    <xdr:pic>
      <xdr:nvPicPr>
        <xdr:cNvPr id="236" name="Picture 235">
          <a:extLst>
            <a:ext uri="{FF2B5EF4-FFF2-40B4-BE49-F238E27FC236}">
              <a16:creationId xmlns:a16="http://schemas.microsoft.com/office/drawing/2014/main" id="{5C115DC4-8B4B-4ED5-AB23-E1BF1C44D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8" t="695" r="67594" b="69757"/>
        <a:stretch/>
      </xdr:blipFill>
      <xdr:spPr bwMode="auto">
        <a:xfrm>
          <a:off x="162604450" y="8439150"/>
          <a:ext cx="103624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140</xdr:col>
      <xdr:colOff>0</xdr:colOff>
      <xdr:row>17</xdr:row>
      <xdr:rowOff>0</xdr:rowOff>
    </xdr:from>
    <xdr:ext cx="1021334" cy="1426464"/>
    <xdr:pic>
      <xdr:nvPicPr>
        <xdr:cNvPr id="237" name="Picture 236" descr="A collage of basketball cards&#10;&#10;Description automatically generated">
          <a:extLst>
            <a:ext uri="{FF2B5EF4-FFF2-40B4-BE49-F238E27FC236}">
              <a16:creationId xmlns:a16="http://schemas.microsoft.com/office/drawing/2014/main" id="{C243FBBB-E071-4305-8686-D34EFF5053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34" t="33257" r="35188" b="36616"/>
        <a:stretch/>
      </xdr:blipFill>
      <xdr:spPr bwMode="auto">
        <a:xfrm>
          <a:off x="92138500" y="20440650"/>
          <a:ext cx="1021334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140</xdr:col>
      <xdr:colOff>0</xdr:colOff>
      <xdr:row>16</xdr:row>
      <xdr:rowOff>0</xdr:rowOff>
    </xdr:from>
    <xdr:ext cx="1022299" cy="1426464"/>
    <xdr:pic>
      <xdr:nvPicPr>
        <xdr:cNvPr id="238" name="Picture 237" descr="A collage of basketball cards&#10;&#10;Description automatically generated">
          <a:extLst>
            <a:ext uri="{FF2B5EF4-FFF2-40B4-BE49-F238E27FC236}">
              <a16:creationId xmlns:a16="http://schemas.microsoft.com/office/drawing/2014/main" id="{6597B4F7-038C-4116-B851-1328C2741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4" t="33257" r="67594" b="36616"/>
        <a:stretch/>
      </xdr:blipFill>
      <xdr:spPr bwMode="auto">
        <a:xfrm>
          <a:off x="92138500" y="18726150"/>
          <a:ext cx="102229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140</xdr:col>
      <xdr:colOff>0</xdr:colOff>
      <xdr:row>15</xdr:row>
      <xdr:rowOff>0</xdr:rowOff>
    </xdr:from>
    <xdr:ext cx="1035216" cy="1426464"/>
    <xdr:pic>
      <xdr:nvPicPr>
        <xdr:cNvPr id="239" name="Picture 238" descr="A collage of basketball cards&#10;&#10;Description automatically generated">
          <a:extLst>
            <a:ext uri="{FF2B5EF4-FFF2-40B4-BE49-F238E27FC236}">
              <a16:creationId xmlns:a16="http://schemas.microsoft.com/office/drawing/2014/main" id="{F785AB89-FB1F-4C6C-91C9-44855875E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61" t="66628" r="35024" b="3940"/>
        <a:stretch/>
      </xdr:blipFill>
      <xdr:spPr bwMode="auto">
        <a:xfrm>
          <a:off x="92138500" y="17011650"/>
          <a:ext cx="103521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140</xdr:col>
      <xdr:colOff>0</xdr:colOff>
      <xdr:row>14</xdr:row>
      <xdr:rowOff>0</xdr:rowOff>
    </xdr:from>
    <xdr:ext cx="1050192" cy="1426464"/>
    <xdr:pic>
      <xdr:nvPicPr>
        <xdr:cNvPr id="240" name="Picture 239" descr="A collage of basketball cards&#10;&#10;Description automatically generated">
          <a:extLst>
            <a:ext uri="{FF2B5EF4-FFF2-40B4-BE49-F238E27FC236}">
              <a16:creationId xmlns:a16="http://schemas.microsoft.com/office/drawing/2014/main" id="{03583B4F-7BAB-4B9A-A7F8-ED4204AB47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4" t="66628" r="67430" b="3940"/>
        <a:stretch/>
      </xdr:blipFill>
      <xdr:spPr bwMode="auto">
        <a:xfrm>
          <a:off x="92138500" y="15297150"/>
          <a:ext cx="105019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68</xdr:col>
      <xdr:colOff>0</xdr:colOff>
      <xdr:row>21</xdr:row>
      <xdr:rowOff>0</xdr:rowOff>
    </xdr:from>
    <xdr:ext cx="1019699" cy="1426464"/>
    <xdr:pic>
      <xdr:nvPicPr>
        <xdr:cNvPr id="241" name="Picture 240">
          <a:extLst>
            <a:ext uri="{FF2B5EF4-FFF2-40B4-BE49-F238E27FC236}">
              <a16:creationId xmlns:a16="http://schemas.microsoft.com/office/drawing/2014/main" id="{EFBF5730-75EC-4ACF-A4D9-1EDC0506EF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31" t="66512" r="2618" b="3824"/>
        <a:stretch/>
      </xdr:blipFill>
      <xdr:spPr bwMode="auto">
        <a:xfrm>
          <a:off x="45313600" y="25584150"/>
          <a:ext cx="101969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68</xdr:col>
      <xdr:colOff>0</xdr:colOff>
      <xdr:row>20</xdr:row>
      <xdr:rowOff>0</xdr:rowOff>
    </xdr:from>
    <xdr:ext cx="1011794" cy="1426464"/>
    <xdr:pic>
      <xdr:nvPicPr>
        <xdr:cNvPr id="242" name="Picture 241" descr="A collage of basketball cards&#10;&#10;Description automatically generated">
          <a:extLst>
            <a:ext uri="{FF2B5EF4-FFF2-40B4-BE49-F238E27FC236}">
              <a16:creationId xmlns:a16="http://schemas.microsoft.com/office/drawing/2014/main" id="{E12BDCE9-06F6-4B87-8F5D-79D3DED56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31" t="33605" r="2618" b="36500"/>
        <a:stretch/>
      </xdr:blipFill>
      <xdr:spPr bwMode="auto">
        <a:xfrm>
          <a:off x="45313600" y="23869650"/>
          <a:ext cx="1011794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68</xdr:col>
      <xdr:colOff>0</xdr:colOff>
      <xdr:row>19</xdr:row>
      <xdr:rowOff>0</xdr:rowOff>
    </xdr:from>
    <xdr:ext cx="1017050" cy="1426464"/>
    <xdr:pic>
      <xdr:nvPicPr>
        <xdr:cNvPr id="243" name="Picture 242" descr="A collage of basketball cards&#10;&#10;Description automatically generated">
          <a:extLst>
            <a:ext uri="{FF2B5EF4-FFF2-40B4-BE49-F238E27FC236}">
              <a16:creationId xmlns:a16="http://schemas.microsoft.com/office/drawing/2014/main" id="{153CBD9F-7F3F-4570-8055-50BCB567B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31" t="696" r="2618" b="69524"/>
        <a:stretch/>
      </xdr:blipFill>
      <xdr:spPr bwMode="auto">
        <a:xfrm>
          <a:off x="45313600" y="22155150"/>
          <a:ext cx="101705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248</xdr:col>
      <xdr:colOff>0</xdr:colOff>
      <xdr:row>7</xdr:row>
      <xdr:rowOff>0</xdr:rowOff>
    </xdr:from>
    <xdr:to>
      <xdr:col>248</xdr:col>
      <xdr:colOff>304800</xdr:colOff>
      <xdr:row>7</xdr:row>
      <xdr:rowOff>304800</xdr:rowOff>
    </xdr:to>
    <xdr:sp macro="" textlink="">
      <xdr:nvSpPr>
        <xdr:cNvPr id="244" name="AutoShape 2" descr="1997-98   Topps #123  gold foil  Michael Jordan  Team: Chicago Bulls  Basketball - Picture 1 of 4">
          <a:extLst>
            <a:ext uri="{FF2B5EF4-FFF2-40B4-BE49-F238E27FC236}">
              <a16:creationId xmlns:a16="http://schemas.microsoft.com/office/drawing/2014/main" id="{C7FE595B-8630-4521-9466-C10D0B22E786}"/>
            </a:ext>
          </a:extLst>
        </xdr:cNvPr>
        <xdr:cNvSpPr>
          <a:spLocks noChangeAspect="1" noChangeArrowheads="1"/>
        </xdr:cNvSpPr>
      </xdr:nvSpPr>
      <xdr:spPr bwMode="auto">
        <a:xfrm>
          <a:off x="162604450" y="329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248</xdr:col>
      <xdr:colOff>17317</xdr:colOff>
      <xdr:row>7</xdr:row>
      <xdr:rowOff>17318</xdr:rowOff>
    </xdr:from>
    <xdr:to>
      <xdr:col>248</xdr:col>
      <xdr:colOff>1049281</xdr:colOff>
      <xdr:row>7</xdr:row>
      <xdr:rowOff>1443782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8E2A92CE-5F47-4A6C-A979-B515AD86C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/>
        <a:srcRect l="5385" t="3982" r="3417" b="2797"/>
        <a:stretch/>
      </xdr:blipFill>
      <xdr:spPr>
        <a:xfrm>
          <a:off x="162621767" y="3312968"/>
          <a:ext cx="1031964" cy="1426464"/>
        </a:xfrm>
        <a:prstGeom prst="rect">
          <a:avLst/>
        </a:prstGeom>
      </xdr:spPr>
    </xdr:pic>
    <xdr:clientData/>
  </xdr:twoCellAnchor>
  <xdr:twoCellAnchor editAs="oneCell">
    <xdr:from>
      <xdr:col>248</xdr:col>
      <xdr:colOff>17318</xdr:colOff>
      <xdr:row>9</xdr:row>
      <xdr:rowOff>20494</xdr:rowOff>
    </xdr:from>
    <xdr:to>
      <xdr:col>248</xdr:col>
      <xdr:colOff>1024983</xdr:colOff>
      <xdr:row>9</xdr:row>
      <xdr:rowOff>1462833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A29F95C0-58BE-4E38-8AF8-C6AE092015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/>
        <a:srcRect l="14718" t="27273" r="17078" b="11370"/>
        <a:stretch/>
      </xdr:blipFill>
      <xdr:spPr>
        <a:xfrm>
          <a:off x="162621768" y="6745144"/>
          <a:ext cx="1007665" cy="1442339"/>
        </a:xfrm>
        <a:prstGeom prst="rect">
          <a:avLst/>
        </a:prstGeom>
      </xdr:spPr>
    </xdr:pic>
    <xdr:clientData/>
  </xdr:twoCellAnchor>
  <xdr:oneCellAnchor>
    <xdr:from>
      <xdr:col>284</xdr:col>
      <xdr:colOff>0</xdr:colOff>
      <xdr:row>16</xdr:row>
      <xdr:rowOff>0</xdr:rowOff>
    </xdr:from>
    <xdr:ext cx="1028700" cy="1428750"/>
    <xdr:pic>
      <xdr:nvPicPr>
        <xdr:cNvPr id="247" name="Picture 246" descr="https://www.tcdb.com/Images/Thumbs/Basketball/2625/2625_696175Thumb2.jpg">
          <a:extLst>
            <a:ext uri="{FF2B5EF4-FFF2-40B4-BE49-F238E27FC236}">
              <a16:creationId xmlns:a16="http://schemas.microsoft.com/office/drawing/2014/main" id="{0B9202A8-3C62-4EC5-9368-03239ED61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45500" y="18726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22</xdr:row>
      <xdr:rowOff>0</xdr:rowOff>
    </xdr:from>
    <xdr:ext cx="1028700" cy="1428750"/>
    <xdr:pic>
      <xdr:nvPicPr>
        <xdr:cNvPr id="248" name="Picture 247" descr="https://www.tcdb.com/Images/Thumbs/Basketball/2559/2559_3012285Thumb2.jpg">
          <a:extLst>
            <a:ext uri="{FF2B5EF4-FFF2-40B4-BE49-F238E27FC236}">
              <a16:creationId xmlns:a16="http://schemas.microsoft.com/office/drawing/2014/main" id="{87B9F1CC-2DB8-44DB-A3FB-96784DE0A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29013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212</xdr:col>
      <xdr:colOff>0</xdr:colOff>
      <xdr:row>20</xdr:row>
      <xdr:rowOff>0</xdr:rowOff>
    </xdr:from>
    <xdr:ext cx="1009650" cy="1428750"/>
    <xdr:pic>
      <xdr:nvPicPr>
        <xdr:cNvPr id="249" name="Picture 248" descr="https://www.tcdb.com/Images/Thumbs/Basketball/277871/277871_16940748Thumb2.jpg">
          <a:extLst>
            <a:ext uri="{FF2B5EF4-FFF2-40B4-BE49-F238E27FC236}">
              <a16:creationId xmlns:a16="http://schemas.microsoft.com/office/drawing/2014/main" id="{979B10CC-419C-48F0-8E84-D03EAD9E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0" y="25584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p365-my.sharepoint.com/personal/duane_schleder_bp_com/Documents/Desktop/PC%20Goals%20Rev2.xlsx" TargetMode="External"/><Relationship Id="rId1" Type="http://schemas.openxmlformats.org/officeDocument/2006/relationships/externalLinkPath" Target="https://bp365-my.sharepoint.com/personal/duane_schleder_bp_com/Documents/Desktop/PC%20Goals%20Re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"/>
      <sheetName val="NOTES"/>
      <sheetName val="Unknowns"/>
      <sheetName val="Goals 1"/>
      <sheetName val="Goals 2"/>
      <sheetName val="Goals 3"/>
      <sheetName val="Replacements"/>
      <sheetName val="TEMPLATE"/>
      <sheetName val="PR Calculations"/>
      <sheetName val="1 of 1s"/>
      <sheetName val="WHITE ALBUM"/>
      <sheetName val="Fleer"/>
      <sheetName val="Hoops"/>
      <sheetName val="SkyBox"/>
      <sheetName val="Topps"/>
      <sheetName val="Fleer Gold"/>
      <sheetName val="Fleer International"/>
      <sheetName val="STATS"/>
      <sheetName val="BLUE ALBUM"/>
      <sheetName val="Star_Fleer_stats"/>
      <sheetName val="Hoops_SkyBox_stats"/>
      <sheetName val="Topps_stats"/>
      <sheetName val="UD_Extra_Gold_stats"/>
      <sheetName val="UD_Baseball_Basketball_Stats"/>
      <sheetName val="90s Star_stats"/>
      <sheetName val="MISC_stats"/>
      <sheetName val="HandCut_stats"/>
      <sheetName val="Novelty_stats"/>
      <sheetName val="DropDown"/>
      <sheetName val="UD Basketball"/>
      <sheetName val="UD Baseball"/>
      <sheetName val="UD Gold"/>
      <sheetName val="YELLOW ALBUM"/>
      <sheetName val="UD Special Sets"/>
      <sheetName val="UD International"/>
      <sheetName val="GREEN ALBUM"/>
      <sheetName val="80s Star"/>
      <sheetName val="90s Star"/>
      <sheetName val="HSN Star"/>
      <sheetName val="BLACK ALBUM"/>
      <sheetName val="MISC"/>
      <sheetName val="Hand Cut"/>
      <sheetName val="Novelty"/>
      <sheetName val="Oth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B16">
            <v>1663296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1113-76BD-4A2A-A7A2-C9735C927607}">
  <sheetPr>
    <tabColor theme="0"/>
  </sheetPr>
  <dimension ref="A1:AFI30"/>
  <sheetViews>
    <sheetView tabSelected="1" zoomScale="40" zoomScaleNormal="40" workbookViewId="0">
      <selection activeCell="O10" sqref="O10"/>
    </sheetView>
  </sheetViews>
  <sheetFormatPr baseColWidth="10" defaultColWidth="8.83203125" defaultRowHeight="15"/>
  <cols>
    <col min="1" max="1" width="13.83203125" style="3" customWidth="1"/>
    <col min="2" max="2" width="7.5" style="3" customWidth="1"/>
    <col min="3" max="3" width="5.5" style="3" customWidth="1"/>
    <col min="4" max="5" width="7.5" style="3" customWidth="1"/>
    <col min="6" max="6" width="15.5" style="4" customWidth="1"/>
    <col min="7" max="8" width="16.33203125" style="4" customWidth="1"/>
    <col min="9" max="9" width="22.5" style="3" customWidth="1"/>
    <col min="10" max="10" width="8.83203125" style="3"/>
    <col min="11" max="11" width="3.5" style="1" customWidth="1"/>
    <col min="12" max="12" width="11.5" style="3" customWidth="1"/>
    <col min="13" max="14" width="5.5" style="3" customWidth="1"/>
    <col min="15" max="16" width="7.5" style="3" customWidth="1"/>
    <col min="17" max="17" width="12.5" style="4" customWidth="1"/>
    <col min="18" max="20" width="12.5" style="36" customWidth="1"/>
    <col min="21" max="21" width="17.5" style="3" customWidth="1"/>
    <col min="22" max="22" width="9.1640625" style="3" customWidth="1"/>
    <col min="23" max="23" width="3.5" style="1" customWidth="1"/>
    <col min="24" max="24" width="11.5" style="3" customWidth="1"/>
    <col min="25" max="26" width="5.5" style="3" customWidth="1"/>
    <col min="27" max="28" width="7.5" style="3" customWidth="1"/>
    <col min="29" max="29" width="12.5" style="4" customWidth="1"/>
    <col min="30" max="32" width="12.5" style="36" customWidth="1"/>
    <col min="33" max="33" width="17.5" style="3" customWidth="1"/>
    <col min="34" max="34" width="9.1640625" style="3" customWidth="1"/>
    <col min="35" max="35" width="3.5" style="1" customWidth="1"/>
    <col min="36" max="36" width="11.5" style="3" customWidth="1"/>
    <col min="37" max="38" width="5.5" style="3" customWidth="1"/>
    <col min="39" max="40" width="7.5" style="3" customWidth="1"/>
    <col min="41" max="41" width="12.5" style="4" customWidth="1"/>
    <col min="42" max="44" width="12.5" style="36" customWidth="1"/>
    <col min="45" max="45" width="17.5" style="3" customWidth="1"/>
    <col min="46" max="46" width="9.1640625" style="3" customWidth="1"/>
    <col min="47" max="47" width="3.5" style="1" customWidth="1"/>
    <col min="48" max="48" width="11.5" style="3" customWidth="1"/>
    <col min="49" max="50" width="5.5" style="3" customWidth="1"/>
    <col min="51" max="52" width="7.5" style="3" customWidth="1"/>
    <col min="53" max="53" width="12.5" style="4" customWidth="1"/>
    <col min="54" max="56" width="12.5" style="36" customWidth="1"/>
    <col min="57" max="57" width="17.5" style="3" customWidth="1"/>
    <col min="58" max="58" width="9.1640625" style="3" customWidth="1"/>
    <col min="59" max="59" width="3.5" style="1" customWidth="1"/>
    <col min="60" max="60" width="11.5" style="3" customWidth="1"/>
    <col min="61" max="62" width="5.5" style="3" customWidth="1"/>
    <col min="63" max="64" width="7.5" style="3" customWidth="1"/>
    <col min="65" max="65" width="12.5" style="4" customWidth="1"/>
    <col min="66" max="68" width="12.5" style="36" customWidth="1"/>
    <col min="69" max="69" width="17.5" style="3" customWidth="1"/>
    <col min="70" max="70" width="9.1640625" style="3" customWidth="1"/>
    <col min="71" max="71" width="3.5" style="1" customWidth="1"/>
    <col min="72" max="72" width="11.5" style="3" customWidth="1"/>
    <col min="73" max="74" width="5.5" style="3" customWidth="1"/>
    <col min="75" max="76" width="7.5" style="3" customWidth="1"/>
    <col min="77" max="77" width="12.5" style="4" customWidth="1"/>
    <col min="78" max="80" width="12.5" style="36" customWidth="1"/>
    <col min="81" max="81" width="17.5" style="3" customWidth="1"/>
    <col min="82" max="82" width="9.1640625" style="3" customWidth="1"/>
    <col min="83" max="83" width="3.5" style="1" customWidth="1"/>
    <col min="84" max="84" width="11.5" style="3" customWidth="1"/>
    <col min="85" max="86" width="5.5" style="3" customWidth="1"/>
    <col min="87" max="88" width="7.5" style="3" customWidth="1"/>
    <col min="89" max="89" width="12.5" style="4" customWidth="1"/>
    <col min="90" max="92" width="12.5" style="36" customWidth="1"/>
    <col min="93" max="93" width="17.5" style="3" customWidth="1"/>
    <col min="94" max="94" width="9.1640625" style="3" customWidth="1"/>
    <col min="95" max="95" width="3.5" style="1" customWidth="1"/>
    <col min="96" max="96" width="11.5" style="3" customWidth="1"/>
    <col min="97" max="98" width="5.5" style="3" customWidth="1"/>
    <col min="99" max="100" width="7.5" style="3" customWidth="1"/>
    <col min="101" max="101" width="12.5" style="4" customWidth="1"/>
    <col min="102" max="104" width="12.5" style="36" customWidth="1"/>
    <col min="105" max="105" width="17.5" style="3" customWidth="1"/>
    <col min="106" max="106" width="9.1640625" style="3" customWidth="1"/>
    <col min="107" max="107" width="3.5" style="1" customWidth="1"/>
    <col min="108" max="108" width="11.5" style="3" customWidth="1"/>
    <col min="109" max="110" width="5.5" style="3" customWidth="1"/>
    <col min="111" max="112" width="7.5" style="3" customWidth="1"/>
    <col min="113" max="113" width="12.5" style="4" customWidth="1"/>
    <col min="114" max="116" width="12.5" style="36" customWidth="1"/>
    <col min="117" max="117" width="17.5" style="3" customWidth="1"/>
    <col min="118" max="118" width="9.1640625" style="3" customWidth="1"/>
    <col min="119" max="119" width="3.5" style="1" customWidth="1"/>
    <col min="120" max="120" width="11.5" style="3" customWidth="1"/>
    <col min="121" max="122" width="5.5" style="3" customWidth="1"/>
    <col min="123" max="124" width="7.5" style="3" customWidth="1"/>
    <col min="125" max="125" width="12.5" style="4" customWidth="1"/>
    <col min="126" max="128" width="12.5" style="36" customWidth="1"/>
    <col min="129" max="129" width="17.5" style="3" customWidth="1"/>
    <col min="130" max="130" width="9.1640625" style="3" customWidth="1"/>
    <col min="131" max="131" width="3.5" style="1" customWidth="1"/>
    <col min="132" max="132" width="11.5" style="3" customWidth="1"/>
    <col min="133" max="134" width="5.5" style="3" customWidth="1"/>
    <col min="135" max="136" width="7.5" style="3" customWidth="1"/>
    <col min="137" max="137" width="12.5" style="4" customWidth="1"/>
    <col min="138" max="140" width="12.5" style="36" customWidth="1"/>
    <col min="141" max="141" width="17.5" style="3" customWidth="1"/>
    <col min="142" max="142" width="9.1640625" style="3" customWidth="1"/>
    <col min="143" max="143" width="3.5" style="1" customWidth="1"/>
    <col min="144" max="144" width="11.5" style="3" customWidth="1"/>
    <col min="145" max="146" width="5.5" style="3" customWidth="1"/>
    <col min="147" max="148" width="7.5" style="3" customWidth="1"/>
    <col min="149" max="149" width="12.5" style="4" customWidth="1"/>
    <col min="150" max="152" width="12.5" style="36" customWidth="1"/>
    <col min="153" max="153" width="17.5" style="3" customWidth="1"/>
    <col min="154" max="154" width="9.1640625" style="3" customWidth="1"/>
    <col min="155" max="155" width="3.5" style="1" customWidth="1"/>
    <col min="156" max="156" width="11.5" style="3" customWidth="1"/>
    <col min="157" max="158" width="5.5" style="3" customWidth="1"/>
    <col min="159" max="160" width="7.5" style="3" customWidth="1"/>
    <col min="161" max="161" width="12.5" style="4" customWidth="1"/>
    <col min="162" max="164" width="12.5" style="36" customWidth="1"/>
    <col min="165" max="165" width="17.5" style="3" customWidth="1"/>
    <col min="166" max="166" width="9.1640625" style="3" customWidth="1"/>
    <col min="167" max="167" width="3.5" style="1" customWidth="1"/>
    <col min="168" max="168" width="11.5" style="3" customWidth="1"/>
    <col min="169" max="170" width="5.5" style="3" customWidth="1"/>
    <col min="171" max="172" width="7.5" style="3" customWidth="1"/>
    <col min="173" max="173" width="12.5" style="4" customWidth="1"/>
    <col min="174" max="174" width="12.5" style="36" customWidth="1"/>
    <col min="175" max="175" width="13.83203125" style="36" customWidth="1"/>
    <col min="176" max="176" width="12.5" style="37" customWidth="1"/>
    <col min="177" max="177" width="17.5" style="3" customWidth="1"/>
    <col min="178" max="178" width="9.1640625" style="3" customWidth="1"/>
    <col min="179" max="179" width="3.5" style="1" customWidth="1"/>
    <col min="180" max="180" width="11.5" style="3" customWidth="1"/>
    <col min="181" max="182" width="5.5" style="3" customWidth="1"/>
    <col min="183" max="184" width="7.5" style="3" customWidth="1"/>
    <col min="185" max="185" width="12.5" style="4" customWidth="1"/>
    <col min="186" max="188" width="12.5" style="36" customWidth="1"/>
    <col min="189" max="189" width="17.5" style="3" customWidth="1"/>
    <col min="190" max="190" width="9.1640625" style="3" customWidth="1"/>
    <col min="191" max="191" width="3.5" style="1" customWidth="1"/>
    <col min="192" max="192" width="11.5" style="3" customWidth="1"/>
    <col min="193" max="194" width="5.5" style="3" customWidth="1"/>
    <col min="195" max="196" width="7.5" style="3" customWidth="1"/>
    <col min="197" max="197" width="12.5" style="4" customWidth="1"/>
    <col min="198" max="199" width="12.5" style="36" customWidth="1"/>
    <col min="200" max="200" width="12.5" style="37" customWidth="1"/>
    <col min="201" max="201" width="17.5" style="3" customWidth="1"/>
    <col min="202" max="202" width="9.1640625" style="3" customWidth="1"/>
    <col min="203" max="203" width="3.5" style="1" customWidth="1"/>
    <col min="204" max="204" width="11.5" style="3" customWidth="1"/>
    <col min="205" max="206" width="5.5" style="3" customWidth="1"/>
    <col min="207" max="208" width="7.5" style="3" customWidth="1"/>
    <col min="209" max="209" width="12.5" style="4" customWidth="1"/>
    <col min="210" max="211" width="12.5" style="36" customWidth="1"/>
    <col min="212" max="212" width="14.5" style="37" customWidth="1"/>
    <col min="213" max="213" width="17.5" style="3" customWidth="1"/>
    <col min="214" max="214" width="9.1640625" style="3" customWidth="1"/>
    <col min="215" max="215" width="3.5" style="1" customWidth="1"/>
    <col min="216" max="216" width="11.5" style="3" customWidth="1"/>
    <col min="217" max="218" width="5.5" style="3" customWidth="1"/>
    <col min="219" max="220" width="7.5" style="3" customWidth="1"/>
    <col min="221" max="221" width="12.5" style="4" customWidth="1"/>
    <col min="222" max="223" width="12.5" style="36" customWidth="1"/>
    <col min="224" max="224" width="12.5" style="37" customWidth="1"/>
    <col min="225" max="225" width="17.5" style="3" customWidth="1"/>
    <col min="226" max="226" width="9.1640625" style="3" customWidth="1"/>
    <col min="227" max="227" width="3.5" style="1" customWidth="1"/>
    <col min="228" max="228" width="11.5" style="3" customWidth="1"/>
    <col min="229" max="230" width="5.5" style="3" customWidth="1"/>
    <col min="231" max="232" width="7.5" style="3" customWidth="1"/>
    <col min="233" max="233" width="12.5" style="4" customWidth="1"/>
    <col min="234" max="235" width="12.5" style="36" customWidth="1"/>
    <col min="236" max="236" width="12.5" style="37" customWidth="1"/>
    <col min="237" max="237" width="17.5" style="3" customWidth="1"/>
    <col min="238" max="238" width="9.1640625" style="3" customWidth="1"/>
    <col min="239" max="239" width="3.5" style="1" customWidth="1"/>
    <col min="240" max="240" width="11.5" style="3" customWidth="1"/>
    <col min="241" max="242" width="5.5" style="3" customWidth="1"/>
    <col min="243" max="244" width="7.5" style="3" customWidth="1"/>
    <col min="245" max="245" width="12.5" style="4" customWidth="1"/>
    <col min="246" max="248" width="12.5" style="36" customWidth="1"/>
    <col min="249" max="249" width="17.5" style="3" customWidth="1"/>
    <col min="250" max="250" width="9.1640625" style="3" customWidth="1"/>
    <col min="251" max="251" width="3.5" style="1" customWidth="1"/>
    <col min="252" max="252" width="11.5" style="3" customWidth="1"/>
    <col min="253" max="254" width="5.5" style="3" customWidth="1"/>
    <col min="255" max="256" width="7.5" style="3" customWidth="1"/>
    <col min="257" max="257" width="12.5" style="4" customWidth="1"/>
    <col min="258" max="260" width="12.5" style="36" customWidth="1"/>
    <col min="261" max="261" width="17.5" style="3" customWidth="1"/>
    <col min="262" max="262" width="9.1640625" style="3" customWidth="1"/>
    <col min="263" max="263" width="3.5" style="1" customWidth="1"/>
    <col min="264" max="264" width="11.5" style="3" customWidth="1"/>
    <col min="265" max="266" width="5.5" style="3" customWidth="1"/>
    <col min="267" max="268" width="7.5" style="3" customWidth="1"/>
    <col min="269" max="269" width="12.5" style="4" customWidth="1"/>
    <col min="270" max="270" width="12.5" style="36" customWidth="1"/>
    <col min="271" max="271" width="13.83203125" style="36" customWidth="1"/>
    <col min="272" max="272" width="12.5" style="37" customWidth="1"/>
    <col min="273" max="273" width="17.5" style="3" customWidth="1"/>
    <col min="274" max="274" width="9.1640625" style="3" customWidth="1"/>
    <col min="275" max="275" width="3.5" style="1" customWidth="1"/>
    <col min="276" max="276" width="11.5" style="3" customWidth="1"/>
    <col min="277" max="278" width="5.5" style="3" customWidth="1"/>
    <col min="279" max="280" width="7.5" style="3" customWidth="1"/>
    <col min="281" max="281" width="12.5" style="4" customWidth="1"/>
    <col min="282" max="282" width="12.5" style="36" customWidth="1"/>
    <col min="283" max="283" width="14.5" style="36" customWidth="1"/>
    <col min="284" max="284" width="12.5" style="37" customWidth="1"/>
    <col min="285" max="285" width="17.5" style="3" customWidth="1"/>
    <col min="286" max="286" width="9.1640625" style="3" customWidth="1"/>
    <col min="287" max="287" width="3.5" style="1" customWidth="1"/>
    <col min="288" max="288" width="11.5" style="3" customWidth="1"/>
    <col min="289" max="290" width="5.5" style="3" customWidth="1"/>
    <col min="291" max="292" width="7.5" style="3" customWidth="1"/>
    <col min="293" max="293" width="12.5" style="4" customWidth="1"/>
    <col min="294" max="295" width="12.5" style="36" customWidth="1"/>
    <col min="296" max="296" width="12.5" style="37" customWidth="1"/>
    <col min="297" max="297" width="17.5" style="3" customWidth="1"/>
    <col min="298" max="298" width="9.1640625" style="39" customWidth="1"/>
    <col min="299" max="299" width="3.5" style="1" customWidth="1"/>
    <col min="300" max="300" width="11.5" style="3" customWidth="1"/>
    <col min="301" max="302" width="5.5" style="3" customWidth="1"/>
    <col min="303" max="304" width="7.5" style="3" customWidth="1"/>
    <col min="305" max="307" width="12.5" style="3" customWidth="1"/>
    <col min="308" max="308" width="12.5" style="4" customWidth="1"/>
    <col min="309" max="309" width="17.5" style="3" customWidth="1"/>
    <col min="310" max="310" width="9.1640625" style="3" customWidth="1"/>
    <col min="311" max="311" width="3.5" style="3" customWidth="1"/>
    <col min="312" max="312" width="11.5" style="3" customWidth="1"/>
    <col min="313" max="314" width="5.5" style="3" customWidth="1"/>
    <col min="315" max="316" width="7.5" style="3" customWidth="1"/>
    <col min="317" max="320" width="12.5" style="3" customWidth="1"/>
    <col min="321" max="321" width="17.5" style="3" customWidth="1"/>
    <col min="322" max="322" width="9.1640625" style="3" customWidth="1"/>
    <col min="323" max="323" width="3.5" style="3" customWidth="1"/>
    <col min="324" max="324" width="11.5" style="3" customWidth="1"/>
    <col min="325" max="326" width="5.5" style="3" customWidth="1"/>
    <col min="327" max="328" width="7.5" style="3" customWidth="1"/>
    <col min="329" max="332" width="12.5" style="3" customWidth="1"/>
    <col min="333" max="333" width="17.5" style="3" customWidth="1"/>
    <col min="334" max="334" width="9.1640625" style="3" customWidth="1"/>
    <col min="335" max="335" width="3.5" style="3" customWidth="1"/>
    <col min="336" max="336" width="11.5" style="3" customWidth="1"/>
    <col min="337" max="338" width="5.5" style="3" customWidth="1"/>
    <col min="339" max="340" width="7.5" style="3" customWidth="1"/>
    <col min="341" max="344" width="12.5" style="3" customWidth="1"/>
    <col min="345" max="345" width="17.5" style="3" customWidth="1"/>
    <col min="346" max="346" width="9.1640625" style="3" customWidth="1"/>
    <col min="347" max="347" width="3.5" style="3" customWidth="1"/>
    <col min="348" max="348" width="12.5" style="3" customWidth="1"/>
    <col min="349" max="349" width="17.5" style="3" customWidth="1"/>
    <col min="350" max="350" width="9.1640625" style="3" customWidth="1"/>
    <col min="351" max="351" width="3.5" style="3" customWidth="1"/>
    <col min="352" max="352" width="11.5" style="3" customWidth="1"/>
    <col min="353" max="355" width="5.5" style="3" customWidth="1"/>
    <col min="356" max="356" width="12.5" style="3" customWidth="1"/>
    <col min="357" max="357" width="17.5" style="3" customWidth="1"/>
    <col min="358" max="358" width="9.1640625" style="3" customWidth="1"/>
    <col min="359" max="359" width="3.5" style="3" customWidth="1"/>
    <col min="360" max="360" width="11.5" style="3" customWidth="1"/>
    <col min="361" max="363" width="5.5" style="3" customWidth="1"/>
    <col min="364" max="364" width="12.5" style="3" customWidth="1"/>
    <col min="365" max="365" width="17.5" style="3" customWidth="1"/>
    <col min="366" max="366" width="9.1640625" style="3" customWidth="1"/>
    <col min="367" max="367" width="3.5" style="3" customWidth="1"/>
    <col min="368" max="368" width="13.83203125" style="3" customWidth="1"/>
    <col min="369" max="369" width="7.5" style="3" customWidth="1"/>
    <col min="370" max="370" width="15.5" style="3" customWidth="1"/>
    <col min="371" max="371" width="20.83203125" style="3" customWidth="1"/>
    <col min="372" max="372" width="8.83203125" style="3"/>
    <col min="373" max="373" width="5" style="3" customWidth="1"/>
    <col min="374" max="374" width="13.83203125" style="3" customWidth="1"/>
    <col min="375" max="375" width="7.5" style="3" customWidth="1"/>
    <col min="376" max="376" width="15.5" style="3" customWidth="1"/>
    <col min="377" max="377" width="20.5" style="3" customWidth="1"/>
    <col min="378" max="378" width="8.83203125" style="3"/>
    <col min="379" max="379" width="5" style="3" customWidth="1"/>
    <col min="380" max="380" width="13.83203125" style="3" customWidth="1"/>
    <col min="381" max="381" width="7.5" style="3" customWidth="1"/>
    <col min="382" max="382" width="15.5" style="3" customWidth="1"/>
    <col min="383" max="383" width="22.1640625" style="3" customWidth="1"/>
    <col min="384" max="384" width="8.83203125" style="3"/>
    <col min="385" max="385" width="5" style="3" customWidth="1"/>
    <col min="386" max="386" width="13.83203125" style="3" customWidth="1"/>
    <col min="387" max="387" width="7.5" style="3" customWidth="1"/>
    <col min="388" max="388" width="15.5" style="3" customWidth="1"/>
    <col min="389" max="389" width="20" style="3" customWidth="1"/>
    <col min="390" max="390" width="8.83203125" style="3"/>
    <col min="391" max="391" width="5" style="3" customWidth="1"/>
    <col min="392" max="392" width="13.83203125" style="3" customWidth="1"/>
    <col min="393" max="393" width="7.5" style="3" customWidth="1"/>
    <col min="394" max="394" width="15.5" style="3" customWidth="1"/>
    <col min="395" max="395" width="19.1640625" style="3" customWidth="1"/>
    <col min="396" max="396" width="8.83203125" style="3"/>
    <col min="397" max="397" width="5" style="3" customWidth="1"/>
    <col min="398" max="398" width="13.83203125" style="3" customWidth="1"/>
    <col min="399" max="399" width="7.5" style="3" customWidth="1"/>
    <col min="400" max="400" width="15.5" style="3" customWidth="1"/>
    <col min="401" max="401" width="20.5" style="3" customWidth="1"/>
    <col min="402" max="402" width="8.83203125" style="3"/>
    <col min="403" max="403" width="5" style="3" customWidth="1"/>
    <col min="404" max="404" width="13.83203125" style="3" customWidth="1"/>
    <col min="405" max="405" width="7.5" style="3" customWidth="1"/>
    <col min="406" max="406" width="15.5" style="3" customWidth="1"/>
    <col min="407" max="407" width="20" style="3" customWidth="1"/>
    <col min="408" max="408" width="8.83203125" style="3"/>
    <col min="409" max="409" width="5" style="3" customWidth="1"/>
    <col min="410" max="410" width="13.83203125" style="3" customWidth="1"/>
    <col min="411" max="411" width="7.5" style="3" customWidth="1"/>
    <col min="412" max="412" width="15.5" style="3" customWidth="1"/>
    <col min="413" max="413" width="19.1640625" style="3" customWidth="1"/>
    <col min="414" max="414" width="8.83203125" style="3"/>
    <col min="415" max="415" width="5" style="3" customWidth="1"/>
    <col min="416" max="416" width="13.83203125" style="3" customWidth="1"/>
    <col min="417" max="417" width="7.5" style="3" customWidth="1"/>
    <col min="418" max="418" width="15.5" style="3" customWidth="1"/>
    <col min="419" max="419" width="20" style="3" customWidth="1"/>
    <col min="420" max="420" width="8.83203125" style="3"/>
    <col min="421" max="421" width="5" style="3" customWidth="1"/>
    <col min="422" max="422" width="13.83203125" style="3" customWidth="1"/>
    <col min="423" max="423" width="7.5" style="3" customWidth="1"/>
    <col min="424" max="424" width="15.5" style="3" customWidth="1"/>
    <col min="425" max="425" width="20" style="3" customWidth="1"/>
    <col min="426" max="426" width="8.83203125" style="3"/>
    <col min="427" max="427" width="5" style="3" customWidth="1"/>
    <col min="428" max="428" width="13.83203125" style="3" customWidth="1"/>
    <col min="429" max="429" width="7.5" style="3" customWidth="1"/>
    <col min="430" max="430" width="15.5" style="3" customWidth="1"/>
    <col min="431" max="431" width="20" style="3" customWidth="1"/>
    <col min="432" max="432" width="8.83203125" style="3"/>
    <col min="433" max="433" width="5" style="3" customWidth="1"/>
    <col min="434" max="434" width="13.83203125" style="3" customWidth="1"/>
    <col min="435" max="435" width="7.5" style="3" customWidth="1"/>
    <col min="436" max="436" width="15.5" style="3" customWidth="1"/>
    <col min="437" max="437" width="20.5" style="3" customWidth="1"/>
    <col min="438" max="438" width="8.83203125" style="3"/>
    <col min="439" max="439" width="5" style="3" customWidth="1"/>
    <col min="440" max="841" width="8.83203125" style="3"/>
  </cols>
  <sheetData>
    <row r="1" spans="1:400" ht="24" customHeight="1">
      <c r="A1" s="65" t="s">
        <v>0</v>
      </c>
      <c r="B1" s="66"/>
      <c r="C1" s="69">
        <f>A5+X5+L5+AJ5+AV5+BH5+BT5+CF5+CR5+DD5+DP5+EB5+EN5+EZ5+FX5+GJ5+GV5+HH5+FL5+HT5+IF5+IR5+JD5+JP5+KB5</f>
        <v>248</v>
      </c>
      <c r="D1" s="70"/>
      <c r="E1" s="70"/>
      <c r="F1" s="71"/>
      <c r="G1" s="72">
        <f>C6+Z6+N6+AL6+AX6+BJ6+BV6+CH6+CT6+DF6+DR6+ED6+EP6+FB6+FZ6+GL6+GX6+HJ6+FN6+HV6+IH6+IT6+JF6+JR6+KD6</f>
        <v>24</v>
      </c>
      <c r="H1" s="72"/>
      <c r="I1" s="73">
        <f>C1-G1</f>
        <v>224</v>
      </c>
      <c r="J1" s="73"/>
      <c r="L1" s="55" t="str">
        <f>IF(L5=M6, "Complete Set", "")</f>
        <v/>
      </c>
      <c r="M1" s="55"/>
      <c r="N1" s="55"/>
      <c r="O1" s="55"/>
      <c r="P1" s="55"/>
      <c r="Q1" s="55"/>
      <c r="R1" s="55"/>
      <c r="S1" s="55"/>
      <c r="T1" s="55"/>
      <c r="U1" s="55"/>
      <c r="V1" s="55"/>
      <c r="W1" s="2"/>
      <c r="X1" s="55" t="str">
        <f>IF(X5=Y6, "Complete Set", "")</f>
        <v/>
      </c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2"/>
      <c r="AJ1" s="55" t="str">
        <f>IF(AJ5=AK6, "Complete Set", "")</f>
        <v/>
      </c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2"/>
      <c r="AV1" s="55" t="str">
        <f>IF(AV5=AW6, "Complete Set", "")</f>
        <v/>
      </c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2"/>
      <c r="BH1" s="55" t="str">
        <f>IF(BH5=BI6, "Complete Set", "")</f>
        <v/>
      </c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2"/>
      <c r="BT1" s="55" t="str">
        <f>IF(BT5=BU6, "Complete Set", "")</f>
        <v/>
      </c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2"/>
      <c r="CF1" s="55" t="str">
        <f>IF(CF5=CG6, "Complete Set", "")</f>
        <v/>
      </c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2"/>
      <c r="CR1" s="55" t="str">
        <f>IF(CR5=CS6, "Complete Set", "")</f>
        <v/>
      </c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2"/>
      <c r="DD1" s="55" t="str">
        <f>IF(DD5=DE6, "Complete Set", "")</f>
        <v/>
      </c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2"/>
      <c r="DP1" s="55" t="str">
        <f>IF(DP5=DQ6, "Complete Set", "")</f>
        <v/>
      </c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2"/>
      <c r="EB1" s="55" t="str">
        <f>IF(EB5=EC6, "Complete Set", "")</f>
        <v/>
      </c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2"/>
      <c r="EN1" s="55" t="str">
        <f>IF(EN5=EO6, "Complete Set", "")</f>
        <v/>
      </c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2"/>
      <c r="EZ1" s="55" t="str">
        <f>IF(EZ5=FA6, "Complete Set", "")</f>
        <v/>
      </c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2"/>
      <c r="FL1" s="55" t="str">
        <f>IF(FL5=FM6, "Complete Set", "")</f>
        <v/>
      </c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2"/>
      <c r="FX1" s="55" t="str">
        <f>IF(FX5=FY6, "Complete Set", "")</f>
        <v/>
      </c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2"/>
      <c r="GJ1" s="55" t="str">
        <f>IF(GJ5=GK6, "Complete Set", "")</f>
        <v/>
      </c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2"/>
      <c r="GV1" s="55" t="str">
        <f>IF(GV5=GW6, "Complete Set", "")</f>
        <v/>
      </c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2"/>
      <c r="HH1" s="55" t="str">
        <f>IF(HH5=HI6, "Complete Set", "")</f>
        <v/>
      </c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2"/>
      <c r="HT1" s="55" t="str">
        <f>IF(HT5=HU6, "Complete Set", "")</f>
        <v/>
      </c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2"/>
      <c r="IF1" s="55" t="str">
        <f>IF(IF5=IG6, "Complete Set", "")</f>
        <v/>
      </c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2"/>
      <c r="IR1" s="55" t="str">
        <f>IF(IR5=IS6, "Complete Set", "")</f>
        <v/>
      </c>
      <c r="IS1" s="55"/>
      <c r="IT1" s="55"/>
      <c r="IU1" s="55"/>
      <c r="IV1" s="55"/>
      <c r="IW1" s="55"/>
      <c r="IX1" s="55"/>
      <c r="IY1" s="55"/>
      <c r="IZ1" s="55"/>
      <c r="JA1" s="55"/>
      <c r="JB1" s="55"/>
      <c r="JC1" s="2"/>
      <c r="JD1" s="55" t="str">
        <f>IF(JD5=JE6, "Complete Set", "")</f>
        <v/>
      </c>
      <c r="JE1" s="55"/>
      <c r="JF1" s="55"/>
      <c r="JG1" s="55"/>
      <c r="JH1" s="55"/>
      <c r="JI1" s="55"/>
      <c r="JJ1" s="55"/>
      <c r="JK1" s="55"/>
      <c r="JL1" s="55"/>
      <c r="JM1" s="55"/>
      <c r="JN1" s="55"/>
      <c r="JO1" s="2"/>
      <c r="JP1" s="55" t="str">
        <f>IF(JP5=JQ6, "Complete Set", "")</f>
        <v/>
      </c>
      <c r="JQ1" s="55"/>
      <c r="JR1" s="55"/>
      <c r="JS1" s="55"/>
      <c r="JT1" s="55"/>
      <c r="JU1" s="55"/>
      <c r="JV1" s="55"/>
      <c r="JW1" s="55"/>
      <c r="JX1" s="55"/>
      <c r="JY1" s="55"/>
      <c r="JZ1" s="55"/>
      <c r="KA1" s="2"/>
      <c r="KB1" s="55" t="str">
        <f>IF(KB5=KC6, "Complete Set", "")</f>
        <v/>
      </c>
      <c r="KC1" s="55"/>
      <c r="KD1" s="55"/>
      <c r="KE1" s="55"/>
      <c r="KF1" s="55"/>
      <c r="KG1" s="55"/>
      <c r="KH1" s="55"/>
      <c r="KI1" s="55"/>
      <c r="KJ1" s="55"/>
      <c r="KK1" s="55"/>
      <c r="KL1" s="55"/>
      <c r="KM1" s="2"/>
    </row>
    <row r="2" spans="1:400" ht="24" customHeight="1">
      <c r="A2" s="67"/>
      <c r="B2" s="68"/>
      <c r="C2" s="56">
        <f>C1-B6-Y6-M6-AK6-AW6-BI6-BU6-CG6-CS6-DE6-DQ6-EC6-EO6-FA6-FY6-GK6-GW6-HI6-FM6-HU6-IG6-IS6-JE6-JQ6-KC6</f>
        <v>248</v>
      </c>
      <c r="D2" s="56"/>
      <c r="E2" s="56"/>
      <c r="F2" s="56"/>
      <c r="G2" s="57">
        <f>G1-(C5+N5+Z5+AL5+AX5+BJ5+BV5+CH5+CT5+DF5+DR5+EP5+FB5+FN5+FZ5+GX5+HJ5+HV5+IH5+IT5+JF5+JR5+KD5+KP5+LB5+LN5+ED5+GL5)</f>
        <v>24</v>
      </c>
      <c r="H2" s="58"/>
      <c r="I2" s="59">
        <f>C2-G2</f>
        <v>224</v>
      </c>
      <c r="J2" s="59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2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2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2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2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2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2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2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2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2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2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2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2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2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2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2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2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2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2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2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2"/>
      <c r="IR2" s="55"/>
      <c r="IS2" s="55"/>
      <c r="IT2" s="55"/>
      <c r="IU2" s="55"/>
      <c r="IV2" s="55"/>
      <c r="IW2" s="55"/>
      <c r="IX2" s="55"/>
      <c r="IY2" s="55"/>
      <c r="IZ2" s="55"/>
      <c r="JA2" s="55"/>
      <c r="JB2" s="55"/>
      <c r="JC2" s="2"/>
      <c r="JD2" s="55"/>
      <c r="JE2" s="55"/>
      <c r="JF2" s="55"/>
      <c r="JG2" s="55"/>
      <c r="JH2" s="55"/>
      <c r="JI2" s="55"/>
      <c r="JJ2" s="55"/>
      <c r="JK2" s="55"/>
      <c r="JL2" s="55"/>
      <c r="JM2" s="55"/>
      <c r="JN2" s="55"/>
      <c r="JO2" s="2"/>
      <c r="JP2" s="55"/>
      <c r="JQ2" s="55"/>
      <c r="JR2" s="55"/>
      <c r="JS2" s="55"/>
      <c r="JT2" s="55"/>
      <c r="JU2" s="55"/>
      <c r="JV2" s="55"/>
      <c r="JW2" s="55"/>
      <c r="JX2" s="55"/>
      <c r="JY2" s="55"/>
      <c r="JZ2" s="55"/>
      <c r="KA2" s="2"/>
      <c r="KB2" s="55"/>
      <c r="KC2" s="55"/>
      <c r="KD2" s="55"/>
      <c r="KE2" s="55"/>
      <c r="KF2" s="55"/>
      <c r="KG2" s="55"/>
      <c r="KH2" s="55"/>
      <c r="KI2" s="55"/>
      <c r="KJ2" s="55"/>
      <c r="KK2" s="55"/>
      <c r="KL2" s="55"/>
      <c r="KM2" s="2"/>
    </row>
    <row r="3" spans="1:400" ht="24" customHeight="1">
      <c r="A3" s="5" t="s">
        <v>1</v>
      </c>
      <c r="B3" s="6"/>
      <c r="C3" s="6"/>
      <c r="D3" s="60">
        <f>F6+AC6+Q6+AO6+BA6+BM6+BY6+CK6+CW6+DI6+DU6+EG6+ES6+FE6+GC6+GO6+HA6+HM6+FQ6+HY6+IK6+IW6+JI6+JU6+KG6</f>
        <v>215195</v>
      </c>
      <c r="E3" s="60"/>
      <c r="F3" s="61"/>
      <c r="G3" s="62">
        <f>F5+AC5+Q5+AO5+BA5+BM5+BY5+CK5+CW5+DI5+DU5+EG5+ES5+FE5+GC5+GO5+HA5+HM5+FQ5+HY5+IK5+IW5+JI5+JU5+KG5</f>
        <v>0</v>
      </c>
      <c r="H3" s="63"/>
      <c r="I3" s="63"/>
      <c r="J3" s="64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2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2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2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2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2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2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2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2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2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2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2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2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2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2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2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2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2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2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2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2"/>
      <c r="IR3" s="55"/>
      <c r="IS3" s="55"/>
      <c r="IT3" s="55"/>
      <c r="IU3" s="55"/>
      <c r="IV3" s="55"/>
      <c r="IW3" s="55"/>
      <c r="IX3" s="55"/>
      <c r="IY3" s="55"/>
      <c r="IZ3" s="55"/>
      <c r="JA3" s="55"/>
      <c r="JB3" s="55"/>
      <c r="JC3" s="2"/>
      <c r="JD3" s="55"/>
      <c r="JE3" s="55"/>
      <c r="JF3" s="55"/>
      <c r="JG3" s="55"/>
      <c r="JH3" s="55"/>
      <c r="JI3" s="55"/>
      <c r="JJ3" s="55"/>
      <c r="JK3" s="55"/>
      <c r="JL3" s="55"/>
      <c r="JM3" s="55"/>
      <c r="JN3" s="55"/>
      <c r="JO3" s="2"/>
      <c r="JP3" s="55"/>
      <c r="JQ3" s="55"/>
      <c r="JR3" s="55"/>
      <c r="JS3" s="55"/>
      <c r="JT3" s="55"/>
      <c r="JU3" s="55"/>
      <c r="JV3" s="55"/>
      <c r="JW3" s="55"/>
      <c r="JX3" s="55"/>
      <c r="JY3" s="55"/>
      <c r="JZ3" s="55"/>
      <c r="KA3" s="2"/>
      <c r="KB3" s="55"/>
      <c r="KC3" s="55"/>
      <c r="KD3" s="55"/>
      <c r="KE3" s="55"/>
      <c r="KF3" s="55"/>
      <c r="KG3" s="55"/>
      <c r="KH3" s="55"/>
      <c r="KI3" s="55"/>
      <c r="KJ3" s="55"/>
      <c r="KK3" s="55"/>
      <c r="KL3" s="55"/>
      <c r="KM3" s="2"/>
    </row>
    <row r="4" spans="1:400" ht="20">
      <c r="A4" s="52" t="s">
        <v>2</v>
      </c>
      <c r="B4" s="53"/>
      <c r="C4" s="53"/>
      <c r="D4" s="53"/>
      <c r="E4" s="53"/>
      <c r="F4" s="53"/>
      <c r="G4" s="53"/>
      <c r="H4" s="53"/>
      <c r="I4" s="53"/>
      <c r="J4" s="54"/>
      <c r="L4" s="51" t="s">
        <v>3</v>
      </c>
      <c r="M4" s="51"/>
      <c r="N4" s="51"/>
      <c r="O4" s="51"/>
      <c r="P4" s="51"/>
      <c r="Q4" s="51"/>
      <c r="R4" s="51"/>
      <c r="S4" s="51"/>
      <c r="T4" s="51"/>
      <c r="U4" s="51"/>
      <c r="V4" s="51"/>
      <c r="X4" s="51" t="s">
        <v>4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J4" s="51" t="s">
        <v>5</v>
      </c>
      <c r="AK4" s="51"/>
      <c r="AL4" s="51"/>
      <c r="AM4" s="51"/>
      <c r="AN4" s="51"/>
      <c r="AO4" s="51"/>
      <c r="AP4" s="51"/>
      <c r="AQ4" s="51"/>
      <c r="AR4" s="51"/>
      <c r="AS4" s="51"/>
      <c r="AT4" s="51"/>
      <c r="AV4" s="51" t="s">
        <v>6</v>
      </c>
      <c r="AW4" s="51"/>
      <c r="AX4" s="51"/>
      <c r="AY4" s="51"/>
      <c r="AZ4" s="51"/>
      <c r="BA4" s="51"/>
      <c r="BB4" s="51"/>
      <c r="BC4" s="51"/>
      <c r="BD4" s="51"/>
      <c r="BE4" s="51"/>
      <c r="BF4" s="51"/>
      <c r="BH4" s="51" t="s">
        <v>7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T4" s="51" t="s">
        <v>8</v>
      </c>
      <c r="BU4" s="51"/>
      <c r="BV4" s="51"/>
      <c r="BW4" s="51"/>
      <c r="BX4" s="51"/>
      <c r="BY4" s="51"/>
      <c r="BZ4" s="51"/>
      <c r="CA4" s="51"/>
      <c r="CB4" s="51"/>
      <c r="CC4" s="51"/>
      <c r="CD4" s="51"/>
      <c r="CF4" s="51" t="s">
        <v>9</v>
      </c>
      <c r="CG4" s="51"/>
      <c r="CH4" s="51"/>
      <c r="CI4" s="51"/>
      <c r="CJ4" s="51"/>
      <c r="CK4" s="51"/>
      <c r="CL4" s="51"/>
      <c r="CM4" s="51"/>
      <c r="CN4" s="51"/>
      <c r="CO4" s="51"/>
      <c r="CP4" s="51"/>
      <c r="CR4" s="51" t="s">
        <v>10</v>
      </c>
      <c r="CS4" s="51"/>
      <c r="CT4" s="51"/>
      <c r="CU4" s="51"/>
      <c r="CV4" s="51"/>
      <c r="CW4" s="51"/>
      <c r="CX4" s="51"/>
      <c r="CY4" s="51"/>
      <c r="CZ4" s="51"/>
      <c r="DA4" s="51"/>
      <c r="DB4" s="51"/>
      <c r="DD4" s="51" t="s">
        <v>11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P4" s="51" t="s">
        <v>12</v>
      </c>
      <c r="DQ4" s="51"/>
      <c r="DR4" s="51"/>
      <c r="DS4" s="51"/>
      <c r="DT4" s="51"/>
      <c r="DU4" s="51"/>
      <c r="DV4" s="51"/>
      <c r="DW4" s="51"/>
      <c r="DX4" s="51"/>
      <c r="DY4" s="51"/>
      <c r="DZ4" s="51"/>
      <c r="EB4" s="51" t="s">
        <v>13</v>
      </c>
      <c r="EC4" s="51"/>
      <c r="ED4" s="51"/>
      <c r="EE4" s="51"/>
      <c r="EF4" s="51"/>
      <c r="EG4" s="51"/>
      <c r="EH4" s="51"/>
      <c r="EI4" s="51"/>
      <c r="EJ4" s="51"/>
      <c r="EK4" s="51"/>
      <c r="EL4" s="51"/>
      <c r="EN4" s="51" t="s">
        <v>14</v>
      </c>
      <c r="EO4" s="51"/>
      <c r="EP4" s="51"/>
      <c r="EQ4" s="51"/>
      <c r="ER4" s="51"/>
      <c r="ES4" s="51"/>
      <c r="ET4" s="51"/>
      <c r="EU4" s="51"/>
      <c r="EV4" s="51"/>
      <c r="EW4" s="51"/>
      <c r="EX4" s="51"/>
      <c r="EZ4" s="51" t="s">
        <v>15</v>
      </c>
      <c r="FA4" s="51"/>
      <c r="FB4" s="51"/>
      <c r="FC4" s="51"/>
      <c r="FD4" s="51"/>
      <c r="FE4" s="51"/>
      <c r="FF4" s="51"/>
      <c r="FG4" s="51"/>
      <c r="FH4" s="51"/>
      <c r="FI4" s="51"/>
      <c r="FJ4" s="51"/>
      <c r="FL4" s="51" t="s">
        <v>16</v>
      </c>
      <c r="FM4" s="51"/>
      <c r="FN4" s="51"/>
      <c r="FO4" s="51"/>
      <c r="FP4" s="51"/>
      <c r="FQ4" s="51"/>
      <c r="FR4" s="51"/>
      <c r="FS4" s="51"/>
      <c r="FT4" s="51"/>
      <c r="FU4" s="51"/>
      <c r="FV4" s="51"/>
      <c r="FX4" s="51" t="s">
        <v>17</v>
      </c>
      <c r="FY4" s="51"/>
      <c r="FZ4" s="51"/>
      <c r="GA4" s="51"/>
      <c r="GB4" s="51"/>
      <c r="GC4" s="51"/>
      <c r="GD4" s="51"/>
      <c r="GE4" s="51"/>
      <c r="GF4" s="51"/>
      <c r="GG4" s="51"/>
      <c r="GH4" s="51"/>
      <c r="GJ4" s="51" t="s">
        <v>18</v>
      </c>
      <c r="GK4" s="51"/>
      <c r="GL4" s="51"/>
      <c r="GM4" s="51"/>
      <c r="GN4" s="51"/>
      <c r="GO4" s="51"/>
      <c r="GP4" s="51"/>
      <c r="GQ4" s="51"/>
      <c r="GR4" s="51"/>
      <c r="GS4" s="51"/>
      <c r="GT4" s="51"/>
      <c r="GV4" s="51" t="s">
        <v>19</v>
      </c>
      <c r="GW4" s="51"/>
      <c r="GX4" s="51"/>
      <c r="GY4" s="51"/>
      <c r="GZ4" s="51"/>
      <c r="HA4" s="51"/>
      <c r="HB4" s="51"/>
      <c r="HC4" s="51"/>
      <c r="HD4" s="51"/>
      <c r="HE4" s="51"/>
      <c r="HF4" s="51"/>
      <c r="HH4" s="51" t="s">
        <v>20</v>
      </c>
      <c r="HI4" s="51"/>
      <c r="HJ4" s="51"/>
      <c r="HK4" s="51"/>
      <c r="HL4" s="51"/>
      <c r="HM4" s="51"/>
      <c r="HN4" s="51"/>
      <c r="HO4" s="51"/>
      <c r="HP4" s="51"/>
      <c r="HQ4" s="51"/>
      <c r="HR4" s="51"/>
      <c r="HT4" s="51" t="s">
        <v>21</v>
      </c>
      <c r="HU4" s="51"/>
      <c r="HV4" s="51"/>
      <c r="HW4" s="51"/>
      <c r="HX4" s="51"/>
      <c r="HY4" s="51"/>
      <c r="HZ4" s="51"/>
      <c r="IA4" s="51"/>
      <c r="IB4" s="51"/>
      <c r="IC4" s="51"/>
      <c r="ID4" s="51"/>
      <c r="IF4" s="51" t="s">
        <v>22</v>
      </c>
      <c r="IG4" s="51"/>
      <c r="IH4" s="51"/>
      <c r="II4" s="51"/>
      <c r="IJ4" s="51"/>
      <c r="IK4" s="51"/>
      <c r="IL4" s="51"/>
      <c r="IM4" s="51"/>
      <c r="IN4" s="51"/>
      <c r="IO4" s="51"/>
      <c r="IP4" s="51"/>
      <c r="IR4" s="51" t="s">
        <v>23</v>
      </c>
      <c r="IS4" s="51"/>
      <c r="IT4" s="51"/>
      <c r="IU4" s="51"/>
      <c r="IV4" s="51"/>
      <c r="IW4" s="51"/>
      <c r="IX4" s="51"/>
      <c r="IY4" s="51"/>
      <c r="IZ4" s="51"/>
      <c r="JA4" s="51"/>
      <c r="JB4" s="51"/>
      <c r="JD4" s="51" t="s">
        <v>24</v>
      </c>
      <c r="JE4" s="51"/>
      <c r="JF4" s="51"/>
      <c r="JG4" s="51"/>
      <c r="JH4" s="51"/>
      <c r="JI4" s="51"/>
      <c r="JJ4" s="51"/>
      <c r="JK4" s="51"/>
      <c r="JL4" s="51"/>
      <c r="JM4" s="51"/>
      <c r="JN4" s="51"/>
      <c r="JP4" s="51" t="s">
        <v>25</v>
      </c>
      <c r="JQ4" s="51"/>
      <c r="JR4" s="51"/>
      <c r="JS4" s="51"/>
      <c r="JT4" s="51"/>
      <c r="JU4" s="51"/>
      <c r="JV4" s="51"/>
      <c r="JW4" s="51"/>
      <c r="JX4" s="51"/>
      <c r="JY4" s="51"/>
      <c r="JZ4" s="51"/>
      <c r="KB4" s="51" t="s">
        <v>26</v>
      </c>
      <c r="KC4" s="51"/>
      <c r="KD4" s="51"/>
      <c r="KE4" s="51"/>
      <c r="KF4" s="51"/>
      <c r="KG4" s="51"/>
      <c r="KH4" s="51"/>
      <c r="KI4" s="51"/>
      <c r="KJ4" s="51"/>
      <c r="KK4" s="51"/>
      <c r="KL4" s="51"/>
    </row>
    <row r="5" spans="1:400" s="13" customFormat="1" ht="16">
      <c r="A5" s="7">
        <f>MAX(A7:A502)</f>
        <v>3</v>
      </c>
      <c r="B5" s="8"/>
      <c r="C5" s="8">
        <f>SUMIF(C7:C500, "Hard Case", B7:B500)</f>
        <v>0</v>
      </c>
      <c r="D5" s="49" t="s">
        <v>27</v>
      </c>
      <c r="E5" s="49" t="s">
        <v>28</v>
      </c>
      <c r="F5" s="9">
        <f>SUMIF(B7:B502,1,F7:F502)</f>
        <v>0</v>
      </c>
      <c r="G5" s="10" t="s">
        <v>29</v>
      </c>
      <c r="H5" s="10" t="s">
        <v>30</v>
      </c>
      <c r="I5" s="8"/>
      <c r="J5" s="11"/>
      <c r="K5" s="12"/>
      <c r="L5" s="7">
        <f>MAX(L7:L502)</f>
        <v>2</v>
      </c>
      <c r="M5" s="8"/>
      <c r="N5" s="8">
        <f>SUMIF(N7:N500, "Hard Case", M7:M500)</f>
        <v>0</v>
      </c>
      <c r="O5" s="49" t="s">
        <v>27</v>
      </c>
      <c r="P5" s="47" t="s">
        <v>28</v>
      </c>
      <c r="Q5" s="9">
        <f>SUMIF(M7:M502,1,Q7:Q502)</f>
        <v>0</v>
      </c>
      <c r="R5" s="10" t="s">
        <v>29</v>
      </c>
      <c r="S5" s="10" t="s">
        <v>31</v>
      </c>
      <c r="T5" s="10" t="s">
        <v>30</v>
      </c>
      <c r="U5" s="8"/>
      <c r="V5" s="11"/>
      <c r="W5" s="12"/>
      <c r="X5" s="7">
        <f>MAX(X7:X502)</f>
        <v>10</v>
      </c>
      <c r="Y5" s="8"/>
      <c r="Z5" s="8">
        <f>SUMIF(Z7:Z500, "Hard Case", Y7:Y500)</f>
        <v>0</v>
      </c>
      <c r="AA5" s="49" t="s">
        <v>27</v>
      </c>
      <c r="AB5" s="47" t="s">
        <v>28</v>
      </c>
      <c r="AC5" s="9">
        <f>SUMIF(Y7:Y502,1,AC7:AC502)</f>
        <v>0</v>
      </c>
      <c r="AD5" s="10" t="s">
        <v>29</v>
      </c>
      <c r="AE5" s="10" t="s">
        <v>31</v>
      </c>
      <c r="AF5" s="10" t="s">
        <v>30</v>
      </c>
      <c r="AG5" s="8"/>
      <c r="AH5" s="11"/>
      <c r="AI5" s="12"/>
      <c r="AJ5" s="7">
        <f>MAX(AJ7:AJ502)</f>
        <v>6</v>
      </c>
      <c r="AK5" s="8"/>
      <c r="AL5" s="8">
        <f>SUMIF(AL7:AL500, "Hard Case", AK7:AK500)</f>
        <v>0</v>
      </c>
      <c r="AM5" s="49" t="s">
        <v>27</v>
      </c>
      <c r="AN5" s="47" t="s">
        <v>28</v>
      </c>
      <c r="AO5" s="9">
        <f>SUMIF(AK7:AK502,1,AO7:AO502)</f>
        <v>0</v>
      </c>
      <c r="AP5" s="10" t="s">
        <v>29</v>
      </c>
      <c r="AQ5" s="10" t="s">
        <v>31</v>
      </c>
      <c r="AR5" s="10" t="s">
        <v>30</v>
      </c>
      <c r="AS5" s="8"/>
      <c r="AT5" s="11"/>
      <c r="AU5" s="12"/>
      <c r="AV5" s="7">
        <f>MAX(AV7:AV502)</f>
        <v>10</v>
      </c>
      <c r="AW5" s="8"/>
      <c r="AX5" s="8">
        <f>SUMIF(AX7:AX500, "Hard Case", AW7:AW500)</f>
        <v>0</v>
      </c>
      <c r="AY5" s="49" t="s">
        <v>27</v>
      </c>
      <c r="AZ5" s="47" t="s">
        <v>28</v>
      </c>
      <c r="BA5" s="9">
        <f>SUMIF(AW7:AW502,1,BA7:BA502)</f>
        <v>0</v>
      </c>
      <c r="BB5" s="10" t="s">
        <v>29</v>
      </c>
      <c r="BC5" s="10" t="s">
        <v>31</v>
      </c>
      <c r="BD5" s="10" t="s">
        <v>30</v>
      </c>
      <c r="BE5" s="8"/>
      <c r="BF5" s="11"/>
      <c r="BG5" s="12"/>
      <c r="BH5" s="7">
        <f>MAX(BH7:BH502)</f>
        <v>17</v>
      </c>
      <c r="BI5" s="8"/>
      <c r="BJ5" s="8">
        <f>SUMIF(BJ7:BJ500, "Hard Case", BI7:BI500)</f>
        <v>0</v>
      </c>
      <c r="BK5" s="49" t="s">
        <v>27</v>
      </c>
      <c r="BL5" s="47" t="s">
        <v>28</v>
      </c>
      <c r="BM5" s="9">
        <f>SUMIF(BI7:BI502,1,BM7:BM502)</f>
        <v>0</v>
      </c>
      <c r="BN5" s="10" t="s">
        <v>29</v>
      </c>
      <c r="BO5" s="10" t="s">
        <v>31</v>
      </c>
      <c r="BP5" s="10" t="s">
        <v>30</v>
      </c>
      <c r="BQ5" s="8"/>
      <c r="BR5" s="11"/>
      <c r="BS5" s="12"/>
      <c r="BT5" s="7">
        <f>MAX(BT7:BT502)</f>
        <v>2</v>
      </c>
      <c r="BU5" s="8"/>
      <c r="BV5" s="8">
        <f>SUMIF(BV7:BV500, "Hard Case", BU7:BU500)</f>
        <v>0</v>
      </c>
      <c r="BW5" s="49" t="s">
        <v>27</v>
      </c>
      <c r="BX5" s="47" t="s">
        <v>28</v>
      </c>
      <c r="BY5" s="9">
        <f>SUMIF(BU7:BU502,1,BY7:BY502)</f>
        <v>0</v>
      </c>
      <c r="BZ5" s="10" t="s">
        <v>29</v>
      </c>
      <c r="CA5" s="10" t="s">
        <v>31</v>
      </c>
      <c r="CB5" s="10" t="s">
        <v>30</v>
      </c>
      <c r="CC5" s="8"/>
      <c r="CD5" s="11"/>
      <c r="CE5" s="12"/>
      <c r="CF5" s="7">
        <f>MAX(CF7:CF502)</f>
        <v>2</v>
      </c>
      <c r="CG5" s="8"/>
      <c r="CH5" s="8">
        <f>SUMIF(CH7:CH500, "Hard Case", CG7:CG500)</f>
        <v>0</v>
      </c>
      <c r="CI5" s="49" t="s">
        <v>27</v>
      </c>
      <c r="CJ5" s="47" t="s">
        <v>28</v>
      </c>
      <c r="CK5" s="9">
        <f>SUMIF(CG7:CG502,1,CK7:CK502)</f>
        <v>0</v>
      </c>
      <c r="CL5" s="10" t="s">
        <v>29</v>
      </c>
      <c r="CM5" s="10" t="s">
        <v>31</v>
      </c>
      <c r="CN5" s="10" t="s">
        <v>30</v>
      </c>
      <c r="CO5" s="8"/>
      <c r="CP5" s="11"/>
      <c r="CQ5" s="12"/>
      <c r="CR5" s="7">
        <f>MAX(CR7:CR502)</f>
        <v>1</v>
      </c>
      <c r="CS5" s="8"/>
      <c r="CT5" s="8">
        <f>SUMIF(CT7:CT500, "Hard Case", CS7:CS500)</f>
        <v>0</v>
      </c>
      <c r="CU5" s="49" t="s">
        <v>27</v>
      </c>
      <c r="CV5" s="47" t="s">
        <v>28</v>
      </c>
      <c r="CW5" s="9">
        <f>SUMIF(CS7:CS502,1,CW7:CW502)</f>
        <v>0</v>
      </c>
      <c r="CX5" s="10" t="s">
        <v>29</v>
      </c>
      <c r="CY5" s="10" t="s">
        <v>31</v>
      </c>
      <c r="CZ5" s="10" t="s">
        <v>30</v>
      </c>
      <c r="DA5" s="8"/>
      <c r="DB5" s="11"/>
      <c r="DC5" s="12"/>
      <c r="DD5" s="7">
        <f>MAX(DD7:DD502)</f>
        <v>3</v>
      </c>
      <c r="DE5" s="8"/>
      <c r="DF5" s="8">
        <f>SUMIF(DF7:DF500, "Hard Case", DE7:DE500)</f>
        <v>0</v>
      </c>
      <c r="DG5" s="49" t="s">
        <v>27</v>
      </c>
      <c r="DH5" s="47" t="s">
        <v>28</v>
      </c>
      <c r="DI5" s="9">
        <f>SUMIF(DE7:DE502,1,DI7:DI502)</f>
        <v>0</v>
      </c>
      <c r="DJ5" s="10" t="s">
        <v>29</v>
      </c>
      <c r="DK5" s="10" t="s">
        <v>31</v>
      </c>
      <c r="DL5" s="10" t="s">
        <v>30</v>
      </c>
      <c r="DM5" s="8"/>
      <c r="DN5" s="11"/>
      <c r="DO5" s="12"/>
      <c r="DP5" s="7">
        <f>MAX(DP7:DP502)</f>
        <v>12</v>
      </c>
      <c r="DQ5" s="8"/>
      <c r="DR5" s="8">
        <f>SUMIF(DR7:DR500, "Hard Case", DQ7:DQ500)</f>
        <v>0</v>
      </c>
      <c r="DS5" s="49" t="s">
        <v>27</v>
      </c>
      <c r="DT5" s="47" t="s">
        <v>28</v>
      </c>
      <c r="DU5" s="9">
        <f>SUMIF(DQ7:DQ502,1,DU7:DU502)</f>
        <v>0</v>
      </c>
      <c r="DV5" s="10" t="s">
        <v>29</v>
      </c>
      <c r="DW5" s="10" t="s">
        <v>31</v>
      </c>
      <c r="DX5" s="10" t="s">
        <v>30</v>
      </c>
      <c r="DY5" s="8"/>
      <c r="DZ5" s="11"/>
      <c r="EA5" s="12"/>
      <c r="EB5" s="7">
        <f>MAX(EB7:EB502)</f>
        <v>13</v>
      </c>
      <c r="EC5" s="8"/>
      <c r="ED5" s="8">
        <f>SUMIF(ED7:ED500, "Hard Case", EC7:EC500)</f>
        <v>0</v>
      </c>
      <c r="EE5" s="49" t="s">
        <v>27</v>
      </c>
      <c r="EF5" s="47" t="s">
        <v>28</v>
      </c>
      <c r="EG5" s="9">
        <f>SUMIF(EC7:EC502,1,EG7:EG502)</f>
        <v>0</v>
      </c>
      <c r="EH5" s="10" t="s">
        <v>29</v>
      </c>
      <c r="EI5" s="10" t="s">
        <v>31</v>
      </c>
      <c r="EJ5" s="10" t="s">
        <v>30</v>
      </c>
      <c r="EK5" s="8"/>
      <c r="EL5" s="11"/>
      <c r="EM5" s="12"/>
      <c r="EN5" s="7">
        <f>MAX(EN7:EN502)</f>
        <v>9</v>
      </c>
      <c r="EO5" s="8"/>
      <c r="EP5" s="8">
        <f>SUMIF(EP7:EP500, "Hard Case", EO7:EO500)</f>
        <v>0</v>
      </c>
      <c r="EQ5" s="49" t="s">
        <v>27</v>
      </c>
      <c r="ER5" s="47" t="s">
        <v>28</v>
      </c>
      <c r="ES5" s="9">
        <f>SUMIF(EO7:EO502,1,ES7:ES502)</f>
        <v>0</v>
      </c>
      <c r="ET5" s="10" t="s">
        <v>29</v>
      </c>
      <c r="EU5" s="10" t="s">
        <v>31</v>
      </c>
      <c r="EV5" s="10" t="s">
        <v>30</v>
      </c>
      <c r="EW5" s="8"/>
      <c r="EX5" s="11"/>
      <c r="EY5" s="12"/>
      <c r="EZ5" s="7">
        <f>MAX(EZ7:EZ502)</f>
        <v>2</v>
      </c>
      <c r="FA5" s="8"/>
      <c r="FB5" s="8">
        <f>SUMIF(FB7:FB500, "Hard Case", FA7:FA500)</f>
        <v>0</v>
      </c>
      <c r="FC5" s="49" t="s">
        <v>27</v>
      </c>
      <c r="FD5" s="47" t="s">
        <v>28</v>
      </c>
      <c r="FE5" s="9">
        <f>SUMIF(FA7:FA502,1,FE7:FE502)</f>
        <v>0</v>
      </c>
      <c r="FF5" s="10" t="s">
        <v>29</v>
      </c>
      <c r="FG5" s="10" t="s">
        <v>31</v>
      </c>
      <c r="FH5" s="10" t="s">
        <v>30</v>
      </c>
      <c r="FI5" s="8"/>
      <c r="FJ5" s="11"/>
      <c r="FK5" s="12"/>
      <c r="FL5" s="7">
        <f>MAX(FL7:FL502)</f>
        <v>19</v>
      </c>
      <c r="FM5" s="8"/>
      <c r="FN5" s="8">
        <f>SUMIF(FN7:FN500, "Hard Case", FM7:FM500)</f>
        <v>0</v>
      </c>
      <c r="FO5" s="49" t="s">
        <v>27</v>
      </c>
      <c r="FP5" s="47" t="s">
        <v>28</v>
      </c>
      <c r="FQ5" s="9">
        <f>SUMIF(FM7:FM502,1,FQ7:FQ502)</f>
        <v>0</v>
      </c>
      <c r="FR5" s="10" t="s">
        <v>29</v>
      </c>
      <c r="FS5" s="10" t="s">
        <v>31</v>
      </c>
      <c r="FT5" s="10" t="s">
        <v>30</v>
      </c>
      <c r="FU5" s="8"/>
      <c r="FV5" s="11"/>
      <c r="FW5" s="12"/>
      <c r="FX5" s="7">
        <f>MAX(FX7:FX502)</f>
        <v>17</v>
      </c>
      <c r="FY5" s="8"/>
      <c r="FZ5" s="8">
        <f>SUMIF(FZ7:FZ500, "Hard Case", FY7:FY500)</f>
        <v>0</v>
      </c>
      <c r="GA5" s="49" t="s">
        <v>27</v>
      </c>
      <c r="GB5" s="47" t="s">
        <v>28</v>
      </c>
      <c r="GC5" s="9">
        <f>SUMIF(FY7:FY502,1,GC7:GC502)</f>
        <v>0</v>
      </c>
      <c r="GD5" s="10" t="s">
        <v>29</v>
      </c>
      <c r="GE5" s="10" t="s">
        <v>31</v>
      </c>
      <c r="GF5" s="10" t="s">
        <v>30</v>
      </c>
      <c r="GG5" s="8"/>
      <c r="GH5" s="11"/>
      <c r="GI5" s="12"/>
      <c r="GJ5" s="7">
        <f>MAX(GJ7:GJ502)</f>
        <v>7</v>
      </c>
      <c r="GK5" s="8"/>
      <c r="GL5" s="8">
        <f>SUMIF(GL7:GL500, "Hard Case", GK7:GK500)</f>
        <v>0</v>
      </c>
      <c r="GM5" s="49" t="s">
        <v>27</v>
      </c>
      <c r="GN5" s="47" t="s">
        <v>28</v>
      </c>
      <c r="GO5" s="9">
        <f>SUMIF(GK7:GK502,1,GO7:GO502)</f>
        <v>0</v>
      </c>
      <c r="GP5" s="10" t="s">
        <v>29</v>
      </c>
      <c r="GQ5" s="10" t="s">
        <v>31</v>
      </c>
      <c r="GR5" s="10" t="s">
        <v>30</v>
      </c>
      <c r="GS5" s="8"/>
      <c r="GT5" s="11"/>
      <c r="GU5" s="12"/>
      <c r="GV5" s="7">
        <f>MAX(GV7:GV502)</f>
        <v>23</v>
      </c>
      <c r="GW5" s="8"/>
      <c r="GX5" s="8">
        <f>SUMIF(GX7:GX500, "Hard Case", GW7:GW500)</f>
        <v>0</v>
      </c>
      <c r="GY5" s="49" t="s">
        <v>27</v>
      </c>
      <c r="GZ5" s="47" t="s">
        <v>28</v>
      </c>
      <c r="HA5" s="9">
        <f>SUMIF(GW7:GW502,1,HA7:HA502)</f>
        <v>0</v>
      </c>
      <c r="HB5" s="10" t="s">
        <v>29</v>
      </c>
      <c r="HC5" s="10" t="s">
        <v>31</v>
      </c>
      <c r="HD5" s="10" t="s">
        <v>30</v>
      </c>
      <c r="HE5" s="8"/>
      <c r="HF5" s="11"/>
      <c r="HG5" s="12"/>
      <c r="HH5" s="7">
        <f>MAX(HH7:HH502)</f>
        <v>6</v>
      </c>
      <c r="HI5" s="8"/>
      <c r="HJ5" s="8">
        <f>SUMIF(HJ7:HJ500, "Hard Case", HI7:HI500)</f>
        <v>0</v>
      </c>
      <c r="HK5" s="49" t="s">
        <v>27</v>
      </c>
      <c r="HL5" s="47" t="s">
        <v>28</v>
      </c>
      <c r="HM5" s="9">
        <f>SUMIF(HI7:HI502,1,HM7:HM502)</f>
        <v>0</v>
      </c>
      <c r="HN5" s="10" t="s">
        <v>29</v>
      </c>
      <c r="HO5" s="10" t="s">
        <v>31</v>
      </c>
      <c r="HP5" s="10" t="s">
        <v>30</v>
      </c>
      <c r="HQ5" s="8"/>
      <c r="HR5" s="11"/>
      <c r="HS5" s="12"/>
      <c r="HT5" s="7">
        <f>MAX(HT7:HT502)</f>
        <v>12</v>
      </c>
      <c r="HU5" s="8"/>
      <c r="HV5" s="8">
        <f>SUMIF(HV7:HV500, "Hard Case", HU7:HU500)</f>
        <v>0</v>
      </c>
      <c r="HW5" s="49" t="s">
        <v>27</v>
      </c>
      <c r="HX5" s="47" t="s">
        <v>28</v>
      </c>
      <c r="HY5" s="9">
        <f>SUMIF(HU7:HU502,1,HY7:HY502)</f>
        <v>0</v>
      </c>
      <c r="HZ5" s="10" t="s">
        <v>29</v>
      </c>
      <c r="IA5" s="10" t="s">
        <v>31</v>
      </c>
      <c r="IB5" s="10" t="s">
        <v>30</v>
      </c>
      <c r="IC5" s="8"/>
      <c r="ID5" s="11"/>
      <c r="IE5" s="12"/>
      <c r="IF5" s="7">
        <f>MAX(IF7:IF502)</f>
        <v>14</v>
      </c>
      <c r="IG5" s="8"/>
      <c r="IH5" s="8">
        <f>SUMIF(IH7:IH500, "Hard Case", IG7:IG500)</f>
        <v>0</v>
      </c>
      <c r="II5" s="49" t="s">
        <v>27</v>
      </c>
      <c r="IJ5" s="47" t="s">
        <v>28</v>
      </c>
      <c r="IK5" s="9">
        <f>SUMIF(IG7:IG502,1,IK7:IK502)</f>
        <v>0</v>
      </c>
      <c r="IL5" s="10" t="s">
        <v>29</v>
      </c>
      <c r="IM5" s="10" t="s">
        <v>31</v>
      </c>
      <c r="IN5" s="10" t="s">
        <v>30</v>
      </c>
      <c r="IO5" s="8"/>
      <c r="IP5" s="11"/>
      <c r="IQ5" s="12"/>
      <c r="IR5" s="7">
        <f>MAX(IR7:IR502)</f>
        <v>8</v>
      </c>
      <c r="IS5" s="8"/>
      <c r="IT5" s="8">
        <f>SUMIF(IT7:IT500, "Hard Case", IS7:IS500)</f>
        <v>0</v>
      </c>
      <c r="IU5" s="49" t="s">
        <v>27</v>
      </c>
      <c r="IV5" s="47" t="s">
        <v>28</v>
      </c>
      <c r="IW5" s="9">
        <f>SUMIF(IS7:IS502,1,IW7:IW502)</f>
        <v>0</v>
      </c>
      <c r="IX5" s="10" t="s">
        <v>29</v>
      </c>
      <c r="IY5" s="10" t="s">
        <v>31</v>
      </c>
      <c r="IZ5" s="10" t="s">
        <v>30</v>
      </c>
      <c r="JA5" s="8"/>
      <c r="JB5" s="11"/>
      <c r="JC5" s="12"/>
      <c r="JD5" s="7">
        <f>MAX(JD7:JD502)</f>
        <v>24</v>
      </c>
      <c r="JE5" s="8"/>
      <c r="JF5" s="8">
        <f>SUMIF(JF7:JF500, "Hard Case", JE7:JE500)</f>
        <v>0</v>
      </c>
      <c r="JG5" s="49" t="s">
        <v>27</v>
      </c>
      <c r="JH5" s="47" t="s">
        <v>28</v>
      </c>
      <c r="JI5" s="9">
        <f>SUMIF(JE7:JE502,1,JI7:JI502)</f>
        <v>0</v>
      </c>
      <c r="JJ5" s="10" t="s">
        <v>29</v>
      </c>
      <c r="JK5" s="10" t="s">
        <v>31</v>
      </c>
      <c r="JL5" s="10" t="s">
        <v>30</v>
      </c>
      <c r="JM5" s="8"/>
      <c r="JN5" s="11"/>
      <c r="JO5" s="12"/>
      <c r="JP5" s="7">
        <f>MAX(JP7:JP502)</f>
        <v>14</v>
      </c>
      <c r="JQ5" s="8"/>
      <c r="JR5" s="8">
        <f>SUMIF(JR7:JR500, "Hard Case", JQ7:JQ500)</f>
        <v>0</v>
      </c>
      <c r="JS5" s="49" t="s">
        <v>27</v>
      </c>
      <c r="JT5" s="47" t="s">
        <v>28</v>
      </c>
      <c r="JU5" s="9">
        <f>SUMIF(JQ7:JQ502,1,JU7:JU502)</f>
        <v>0</v>
      </c>
      <c r="JV5" s="10" t="s">
        <v>29</v>
      </c>
      <c r="JW5" s="10" t="s">
        <v>31</v>
      </c>
      <c r="JX5" s="10" t="s">
        <v>30</v>
      </c>
      <c r="JY5" s="8"/>
      <c r="JZ5" s="11"/>
      <c r="KA5" s="12"/>
      <c r="KB5" s="7">
        <f>MAX(KB7:KB502)</f>
        <v>12</v>
      </c>
      <c r="KC5" s="8"/>
      <c r="KD5" s="8">
        <f>SUMIF(KD7:KD500, "Hard Case", KC7:KC500)</f>
        <v>0</v>
      </c>
      <c r="KE5" s="49" t="s">
        <v>27</v>
      </c>
      <c r="KF5" s="47" t="s">
        <v>28</v>
      </c>
      <c r="KG5" s="9">
        <f>SUMIF(KC7:KC502,1,KG7:KG502)</f>
        <v>0</v>
      </c>
      <c r="KH5" s="10" t="s">
        <v>29</v>
      </c>
      <c r="KI5" s="10" t="s">
        <v>31</v>
      </c>
      <c r="KJ5" s="10" t="s">
        <v>30</v>
      </c>
      <c r="KK5" s="8"/>
      <c r="KL5" s="11"/>
      <c r="KM5" s="12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</row>
    <row r="6" spans="1:400" ht="16">
      <c r="A6" s="14"/>
      <c r="B6" s="15">
        <f>SUM(B7:B500)</f>
        <v>0</v>
      </c>
      <c r="C6" s="15">
        <f>COUNTIF(C7:C500, "Hard Case")</f>
        <v>3</v>
      </c>
      <c r="D6" s="50"/>
      <c r="E6" s="50"/>
      <c r="F6" s="16">
        <f>SUM(F7:F500)</f>
        <v>21050</v>
      </c>
      <c r="G6" s="17" t="s">
        <v>32</v>
      </c>
      <c r="H6" s="17" t="s">
        <v>33</v>
      </c>
      <c r="J6" s="18"/>
      <c r="L6" s="14"/>
      <c r="M6" s="15">
        <f>SUM(M7:M500)</f>
        <v>0</v>
      </c>
      <c r="N6" s="15">
        <f>COUNTIF(N7:N500, "Hard Case")</f>
        <v>0</v>
      </c>
      <c r="O6" s="50"/>
      <c r="P6" s="48"/>
      <c r="Q6" s="16">
        <f>SUM(Q7:Q500)</f>
        <v>162</v>
      </c>
      <c r="R6" s="17" t="s">
        <v>32</v>
      </c>
      <c r="S6" s="17" t="s">
        <v>34</v>
      </c>
      <c r="T6" s="10" t="s">
        <v>33</v>
      </c>
      <c r="V6" s="18"/>
      <c r="X6" s="14"/>
      <c r="Y6" s="15">
        <f>SUM(Y7:Y500)</f>
        <v>0</v>
      </c>
      <c r="Z6" s="15">
        <f>COUNTIF(Z7:Z500, "Hard Case")</f>
        <v>0</v>
      </c>
      <c r="AA6" s="50"/>
      <c r="AB6" s="48"/>
      <c r="AC6" s="16">
        <f>SUM(AC7:AC500)</f>
        <v>431</v>
      </c>
      <c r="AD6" s="17" t="s">
        <v>32</v>
      </c>
      <c r="AE6" s="17" t="s">
        <v>34</v>
      </c>
      <c r="AF6" s="10" t="s">
        <v>33</v>
      </c>
      <c r="AH6" s="18"/>
      <c r="AJ6" s="14"/>
      <c r="AK6" s="15">
        <f>SUM(AK7:AK500)</f>
        <v>0</v>
      </c>
      <c r="AL6" s="15">
        <f>COUNTIF(AL7:AL500, "Hard Case")</f>
        <v>0</v>
      </c>
      <c r="AM6" s="50"/>
      <c r="AN6" s="48"/>
      <c r="AO6" s="16">
        <f>SUM(AO7:AO500)</f>
        <v>1452</v>
      </c>
      <c r="AP6" s="17" t="s">
        <v>32</v>
      </c>
      <c r="AQ6" s="17" t="s">
        <v>34</v>
      </c>
      <c r="AR6" s="10" t="s">
        <v>33</v>
      </c>
      <c r="AT6" s="18"/>
      <c r="AV6" s="14"/>
      <c r="AW6" s="15">
        <f>SUM(AW7:AW500)</f>
        <v>0</v>
      </c>
      <c r="AX6" s="15">
        <f>COUNTIF(AX7:AX500, "Hard Case")</f>
        <v>0</v>
      </c>
      <c r="AY6" s="50"/>
      <c r="AZ6" s="48"/>
      <c r="BA6" s="16">
        <f>SUM(BA7:BA500)</f>
        <v>148</v>
      </c>
      <c r="BB6" s="17" t="s">
        <v>32</v>
      </c>
      <c r="BC6" s="17" t="s">
        <v>34</v>
      </c>
      <c r="BD6" s="10" t="s">
        <v>33</v>
      </c>
      <c r="BF6" s="18"/>
      <c r="BH6" s="14"/>
      <c r="BI6" s="15">
        <f>SUM(BI7:BI500)</f>
        <v>0</v>
      </c>
      <c r="BJ6" s="15">
        <f>COUNTIF(BJ7:BJ500, "Hard Case")</f>
        <v>0</v>
      </c>
      <c r="BK6" s="50"/>
      <c r="BL6" s="48"/>
      <c r="BM6" s="16">
        <f>SUM(BM7:BM500)</f>
        <v>3910</v>
      </c>
      <c r="BN6" s="17" t="s">
        <v>32</v>
      </c>
      <c r="BO6" s="17" t="s">
        <v>34</v>
      </c>
      <c r="BP6" s="10" t="s">
        <v>33</v>
      </c>
      <c r="BR6" s="18"/>
      <c r="BT6" s="14"/>
      <c r="BU6" s="15">
        <f>SUM(BU7:BU500)</f>
        <v>0</v>
      </c>
      <c r="BV6" s="15">
        <f>COUNTIF(BV7:BV500, "Hard Case")</f>
        <v>0</v>
      </c>
      <c r="BW6" s="50"/>
      <c r="BX6" s="48"/>
      <c r="BY6" s="16">
        <f>SUM(BY7:BY500)</f>
        <v>1650</v>
      </c>
      <c r="BZ6" s="17" t="s">
        <v>32</v>
      </c>
      <c r="CA6" s="17" t="s">
        <v>34</v>
      </c>
      <c r="CB6" s="10" t="s">
        <v>33</v>
      </c>
      <c r="CD6" s="18"/>
      <c r="CF6" s="14"/>
      <c r="CG6" s="15">
        <f>SUM(CG7:CG500)</f>
        <v>0</v>
      </c>
      <c r="CH6" s="15">
        <f>COUNTIF(CH7:CH500, "Hard Case")</f>
        <v>0</v>
      </c>
      <c r="CI6" s="50"/>
      <c r="CJ6" s="48"/>
      <c r="CK6" s="16">
        <f>SUM(CK7:CK500)</f>
        <v>230</v>
      </c>
      <c r="CL6" s="17" t="s">
        <v>32</v>
      </c>
      <c r="CM6" s="17" t="s">
        <v>34</v>
      </c>
      <c r="CN6" s="10" t="s">
        <v>33</v>
      </c>
      <c r="CP6" s="18"/>
      <c r="CR6" s="14"/>
      <c r="CS6" s="15">
        <f>SUM(CS7:CS500)</f>
        <v>0</v>
      </c>
      <c r="CT6" s="15">
        <f>COUNTIF(CT7:CT500, "Hard Case")</f>
        <v>0</v>
      </c>
      <c r="CU6" s="50"/>
      <c r="CV6" s="48"/>
      <c r="CW6" s="16">
        <f>SUM(CW7:CW500)</f>
        <v>25</v>
      </c>
      <c r="CX6" s="17" t="s">
        <v>32</v>
      </c>
      <c r="CY6" s="17" t="s">
        <v>34</v>
      </c>
      <c r="CZ6" s="10" t="s">
        <v>33</v>
      </c>
      <c r="DB6" s="18"/>
      <c r="DD6" s="14"/>
      <c r="DE6" s="15">
        <f>SUM(DE7:DE500)</f>
        <v>0</v>
      </c>
      <c r="DF6" s="15">
        <f>COUNTIF(DF7:DF500, "Hard Case")</f>
        <v>1</v>
      </c>
      <c r="DG6" s="50"/>
      <c r="DH6" s="48"/>
      <c r="DI6" s="16">
        <f>SUM(DI7:DI500)</f>
        <v>13025</v>
      </c>
      <c r="DJ6" s="17" t="s">
        <v>32</v>
      </c>
      <c r="DK6" s="17" t="s">
        <v>34</v>
      </c>
      <c r="DL6" s="10" t="s">
        <v>33</v>
      </c>
      <c r="DN6" s="18"/>
      <c r="DP6" s="14"/>
      <c r="DQ6" s="15">
        <f>SUM(DQ7:DQ500)</f>
        <v>0</v>
      </c>
      <c r="DR6" s="15">
        <f>COUNTIF(DR7:DR500, "Hard Case")</f>
        <v>0</v>
      </c>
      <c r="DS6" s="50"/>
      <c r="DT6" s="48"/>
      <c r="DU6" s="16">
        <f>SUM(DU7:DU500)</f>
        <v>2348</v>
      </c>
      <c r="DV6" s="17" t="s">
        <v>32</v>
      </c>
      <c r="DW6" s="17" t="s">
        <v>34</v>
      </c>
      <c r="DX6" s="10" t="s">
        <v>33</v>
      </c>
      <c r="DZ6" s="18"/>
      <c r="EB6" s="14"/>
      <c r="EC6" s="15">
        <f>SUM(EC7:EC500)</f>
        <v>0</v>
      </c>
      <c r="ED6" s="15">
        <f>COUNTIF(ED7:ED500, "Hard Case")</f>
        <v>0</v>
      </c>
      <c r="EE6" s="50"/>
      <c r="EF6" s="48"/>
      <c r="EG6" s="16">
        <f>SUM(EG7:EG500)</f>
        <v>3045</v>
      </c>
      <c r="EH6" s="17" t="s">
        <v>32</v>
      </c>
      <c r="EI6" s="17" t="s">
        <v>34</v>
      </c>
      <c r="EJ6" s="10" t="s">
        <v>33</v>
      </c>
      <c r="EL6" s="18"/>
      <c r="EN6" s="14"/>
      <c r="EO6" s="15">
        <f>SUM(EO7:EO500)</f>
        <v>0</v>
      </c>
      <c r="EP6" s="15">
        <f>COUNTIF(EP7:EP500, "Hard Case")</f>
        <v>0</v>
      </c>
      <c r="EQ6" s="50"/>
      <c r="ER6" s="48"/>
      <c r="ES6" s="16">
        <f>SUM(ES7:ES500)</f>
        <v>4425</v>
      </c>
      <c r="ET6" s="17" t="s">
        <v>32</v>
      </c>
      <c r="EU6" s="17" t="s">
        <v>34</v>
      </c>
      <c r="EV6" s="10" t="s">
        <v>33</v>
      </c>
      <c r="EX6" s="18"/>
      <c r="EZ6" s="14"/>
      <c r="FA6" s="15">
        <f>SUM(FA7:FA500)</f>
        <v>0</v>
      </c>
      <c r="FB6" s="15">
        <f>COUNTIF(FB7:FB500, "Hard Case")</f>
        <v>2</v>
      </c>
      <c r="FC6" s="50"/>
      <c r="FD6" s="48"/>
      <c r="FE6" s="16">
        <f>SUM(FE7:FE500)</f>
        <v>75</v>
      </c>
      <c r="FF6" s="17" t="s">
        <v>32</v>
      </c>
      <c r="FG6" s="17" t="s">
        <v>34</v>
      </c>
      <c r="FH6" s="10" t="s">
        <v>33</v>
      </c>
      <c r="FJ6" s="18"/>
      <c r="FL6" s="14"/>
      <c r="FM6" s="15">
        <f>SUM(FM7:FM500)</f>
        <v>0</v>
      </c>
      <c r="FN6" s="15">
        <f>COUNTIF(FN7:FN500, "Hard Case")</f>
        <v>0</v>
      </c>
      <c r="FO6" s="50"/>
      <c r="FP6" s="48"/>
      <c r="FQ6" s="16">
        <f>SUM(FQ7:FQ500)</f>
        <v>11635</v>
      </c>
      <c r="FR6" s="17" t="s">
        <v>32</v>
      </c>
      <c r="FS6" s="17" t="s">
        <v>34</v>
      </c>
      <c r="FT6" s="10" t="s">
        <v>33</v>
      </c>
      <c r="FV6" s="18"/>
      <c r="FX6" s="14"/>
      <c r="FY6" s="15">
        <f>SUM(FY7:FY500)</f>
        <v>0</v>
      </c>
      <c r="FZ6" s="15">
        <f>COUNTIF(FZ7:FZ500, "Hard Case")</f>
        <v>0</v>
      </c>
      <c r="GA6" s="50"/>
      <c r="GB6" s="48"/>
      <c r="GC6" s="16">
        <f>SUM(GC7:GC500)</f>
        <v>2826</v>
      </c>
      <c r="GD6" s="17" t="s">
        <v>32</v>
      </c>
      <c r="GE6" s="17" t="s">
        <v>34</v>
      </c>
      <c r="GF6" s="10" t="s">
        <v>33</v>
      </c>
      <c r="GH6" s="18"/>
      <c r="GJ6" s="14"/>
      <c r="GK6" s="15">
        <f>SUM(GK7:GK500)</f>
        <v>0</v>
      </c>
      <c r="GL6" s="15">
        <f>COUNTIF(GL7:GL500, "Hard Case")</f>
        <v>0</v>
      </c>
      <c r="GM6" s="50"/>
      <c r="GN6" s="48"/>
      <c r="GO6" s="16">
        <f>SUM(GO7:GO500)</f>
        <v>4815</v>
      </c>
      <c r="GP6" s="17" t="s">
        <v>32</v>
      </c>
      <c r="GQ6" s="17" t="s">
        <v>34</v>
      </c>
      <c r="GR6" s="10" t="s">
        <v>33</v>
      </c>
      <c r="GT6" s="18"/>
      <c r="GV6" s="14"/>
      <c r="GW6" s="15">
        <f>SUM(GW7:GW500)</f>
        <v>0</v>
      </c>
      <c r="GX6" s="15">
        <f>COUNTIF(GX7:GX500, "Hard Case")</f>
        <v>2</v>
      </c>
      <c r="GY6" s="50"/>
      <c r="GZ6" s="48"/>
      <c r="HA6" s="16">
        <f>SUM(HA7:HA500)</f>
        <v>6435</v>
      </c>
      <c r="HB6" s="17" t="s">
        <v>32</v>
      </c>
      <c r="HC6" s="17" t="s">
        <v>34</v>
      </c>
      <c r="HD6" s="10" t="s">
        <v>33</v>
      </c>
      <c r="HF6" s="18"/>
      <c r="HH6" s="14"/>
      <c r="HI6" s="15">
        <f>SUM(HI7:HI500)</f>
        <v>0</v>
      </c>
      <c r="HJ6" s="15">
        <f>COUNTIF(HJ7:HJ500, "Hard Case")</f>
        <v>2</v>
      </c>
      <c r="HK6" s="50"/>
      <c r="HL6" s="48"/>
      <c r="HM6" s="16">
        <f>SUM(HM7:HM500)</f>
        <v>4200</v>
      </c>
      <c r="HN6" s="17" t="s">
        <v>32</v>
      </c>
      <c r="HO6" s="17" t="s">
        <v>34</v>
      </c>
      <c r="HP6" s="10" t="s">
        <v>33</v>
      </c>
      <c r="HR6" s="18"/>
      <c r="HT6" s="14"/>
      <c r="HU6" s="15">
        <f>SUM(HU7:HU500)</f>
        <v>0</v>
      </c>
      <c r="HV6" s="15">
        <f>COUNTIF(HV7:HV500, "Hard Case")</f>
        <v>0</v>
      </c>
      <c r="HW6" s="50"/>
      <c r="HX6" s="48"/>
      <c r="HY6" s="16">
        <f>SUM(HY7:HY500)</f>
        <v>9200</v>
      </c>
      <c r="HZ6" s="17" t="s">
        <v>32</v>
      </c>
      <c r="IA6" s="17" t="s">
        <v>34</v>
      </c>
      <c r="IB6" s="10" t="s">
        <v>33</v>
      </c>
      <c r="ID6" s="18"/>
      <c r="IF6" s="14"/>
      <c r="IG6" s="15">
        <f>SUM(IG7:IG500)</f>
        <v>0</v>
      </c>
      <c r="IH6" s="15">
        <f>COUNTIF(IH7:IH500, "Hard Case")</f>
        <v>0</v>
      </c>
      <c r="II6" s="50"/>
      <c r="IJ6" s="48"/>
      <c r="IK6" s="16">
        <f>SUM(IK7:IK500)</f>
        <v>5513</v>
      </c>
      <c r="IL6" s="17" t="s">
        <v>32</v>
      </c>
      <c r="IM6" s="17" t="s">
        <v>34</v>
      </c>
      <c r="IN6" s="10" t="s">
        <v>33</v>
      </c>
      <c r="IP6" s="18"/>
      <c r="IR6" s="14"/>
      <c r="IS6" s="15">
        <f>SUM(IS7:IS500)</f>
        <v>0</v>
      </c>
      <c r="IT6" s="15">
        <f>COUNTIF(IT7:IT500, "Hard Case")</f>
        <v>0</v>
      </c>
      <c r="IU6" s="50"/>
      <c r="IV6" s="48"/>
      <c r="IW6" s="16">
        <f>SUM(IW7:IW500)</f>
        <v>3585</v>
      </c>
      <c r="IX6" s="17" t="s">
        <v>32</v>
      </c>
      <c r="IY6" s="17" t="s">
        <v>34</v>
      </c>
      <c r="IZ6" s="10" t="s">
        <v>33</v>
      </c>
      <c r="JB6" s="18"/>
      <c r="JD6" s="14"/>
      <c r="JE6" s="15">
        <f>SUM(JE7:JE500)</f>
        <v>0</v>
      </c>
      <c r="JF6" s="15">
        <f>COUNTIF(JF7:JF500, "Hard Case")</f>
        <v>8</v>
      </c>
      <c r="JG6" s="50"/>
      <c r="JH6" s="48"/>
      <c r="JI6" s="16">
        <f>SUM(JI7:JI500)</f>
        <v>40550</v>
      </c>
      <c r="JJ6" s="17" t="s">
        <v>32</v>
      </c>
      <c r="JK6" s="17" t="s">
        <v>34</v>
      </c>
      <c r="JL6" s="10" t="s">
        <v>33</v>
      </c>
      <c r="JN6" s="18"/>
      <c r="JP6" s="14"/>
      <c r="JQ6" s="15">
        <f>SUM(JQ7:JQ500)</f>
        <v>0</v>
      </c>
      <c r="JR6" s="15">
        <f>COUNTIF(JR7:JR500, "Hard Case")</f>
        <v>6</v>
      </c>
      <c r="JS6" s="50"/>
      <c r="JT6" s="48"/>
      <c r="JU6" s="16">
        <f>SUM(JU7:JU500)</f>
        <v>68130</v>
      </c>
      <c r="JV6" s="17" t="s">
        <v>32</v>
      </c>
      <c r="JW6" s="17" t="s">
        <v>34</v>
      </c>
      <c r="JX6" s="10" t="s">
        <v>33</v>
      </c>
      <c r="JZ6" s="18"/>
      <c r="KB6" s="14"/>
      <c r="KC6" s="15">
        <f>SUM(KC7:KC500)</f>
        <v>0</v>
      </c>
      <c r="KD6" s="15">
        <f>COUNTIF(KD7:KD500, "Hard Case")</f>
        <v>0</v>
      </c>
      <c r="KE6" s="50"/>
      <c r="KF6" s="48"/>
      <c r="KG6" s="16">
        <f>SUM(KG7:KG500)</f>
        <v>6330</v>
      </c>
      <c r="KH6" s="17" t="s">
        <v>32</v>
      </c>
      <c r="KI6" s="17" t="s">
        <v>34</v>
      </c>
      <c r="KJ6" s="10" t="s">
        <v>33</v>
      </c>
      <c r="KL6" s="18"/>
    </row>
    <row r="7" spans="1:400" ht="135" customHeight="1">
      <c r="A7" s="19">
        <v>1</v>
      </c>
      <c r="B7" s="20">
        <v>0</v>
      </c>
      <c r="C7" s="21" t="s">
        <v>35</v>
      </c>
      <c r="D7" s="22" t="s">
        <v>36</v>
      </c>
      <c r="E7" s="21" t="s">
        <v>37</v>
      </c>
      <c r="F7" s="23">
        <v>550</v>
      </c>
      <c r="G7" s="23" t="s">
        <v>293</v>
      </c>
      <c r="H7" s="24"/>
      <c r="I7" s="25" t="s">
        <v>39</v>
      </c>
      <c r="J7" s="26" t="s">
        <v>40</v>
      </c>
      <c r="L7" s="19">
        <v>1</v>
      </c>
      <c r="M7" s="20">
        <v>0</v>
      </c>
      <c r="N7" s="21" t="s">
        <v>41</v>
      </c>
      <c r="O7" s="22" t="s">
        <v>36</v>
      </c>
      <c r="P7" s="21" t="s">
        <v>37</v>
      </c>
      <c r="Q7" s="23">
        <v>12</v>
      </c>
      <c r="R7" s="23" t="s">
        <v>293</v>
      </c>
      <c r="S7" s="24" t="s">
        <v>38</v>
      </c>
      <c r="T7" s="24"/>
      <c r="U7" s="27"/>
      <c r="V7" s="26" t="s">
        <v>42</v>
      </c>
      <c r="X7" s="19">
        <v>1</v>
      </c>
      <c r="Y7" s="20">
        <v>0</v>
      </c>
      <c r="Z7" s="21" t="s">
        <v>41</v>
      </c>
      <c r="AA7" s="22" t="s">
        <v>36</v>
      </c>
      <c r="AB7" s="21" t="s">
        <v>37</v>
      </c>
      <c r="AC7" s="23">
        <v>5</v>
      </c>
      <c r="AD7" s="23" t="s">
        <v>293</v>
      </c>
      <c r="AE7" s="24" t="s">
        <v>38</v>
      </c>
      <c r="AF7" s="24"/>
      <c r="AG7" s="27"/>
      <c r="AH7" s="26" t="s">
        <v>43</v>
      </c>
      <c r="AJ7" s="19">
        <v>1</v>
      </c>
      <c r="AK7" s="20">
        <v>0</v>
      </c>
      <c r="AL7" s="21" t="s">
        <v>41</v>
      </c>
      <c r="AM7" s="22" t="s">
        <v>36</v>
      </c>
      <c r="AN7" s="21" t="s">
        <v>37</v>
      </c>
      <c r="AO7" s="23">
        <v>12</v>
      </c>
      <c r="AP7" s="23" t="s">
        <v>293</v>
      </c>
      <c r="AQ7" s="24" t="s">
        <v>38</v>
      </c>
      <c r="AR7" s="28"/>
      <c r="AS7" s="27"/>
      <c r="AT7" s="26" t="s">
        <v>44</v>
      </c>
      <c r="AV7" s="19">
        <v>1</v>
      </c>
      <c r="AW7" s="20">
        <v>0</v>
      </c>
      <c r="AX7" s="21" t="s">
        <v>41</v>
      </c>
      <c r="AY7" s="22" t="s">
        <v>36</v>
      </c>
      <c r="AZ7" s="21" t="s">
        <v>37</v>
      </c>
      <c r="BA7" s="23">
        <v>5</v>
      </c>
      <c r="BB7" s="23" t="s">
        <v>293</v>
      </c>
      <c r="BC7" s="24" t="s">
        <v>38</v>
      </c>
      <c r="BD7" s="24"/>
      <c r="BE7" s="27"/>
      <c r="BF7" s="29" t="s">
        <v>45</v>
      </c>
      <c r="BH7" s="19">
        <v>1</v>
      </c>
      <c r="BI7" s="20">
        <v>0</v>
      </c>
      <c r="BJ7" s="21" t="s">
        <v>41</v>
      </c>
      <c r="BK7" s="22" t="s">
        <v>36</v>
      </c>
      <c r="BL7" s="21" t="s">
        <v>37</v>
      </c>
      <c r="BM7" s="23">
        <v>30</v>
      </c>
      <c r="BN7" s="23" t="s">
        <v>293</v>
      </c>
      <c r="BO7" s="24" t="s">
        <v>38</v>
      </c>
      <c r="BP7" s="28"/>
      <c r="BQ7" s="27"/>
      <c r="BR7" s="29" t="s">
        <v>361</v>
      </c>
      <c r="BT7" s="19">
        <v>1</v>
      </c>
      <c r="BU7" s="20">
        <v>0</v>
      </c>
      <c r="BV7" s="21" t="s">
        <v>41</v>
      </c>
      <c r="BW7" s="22" t="s">
        <v>36</v>
      </c>
      <c r="BX7" s="21" t="s">
        <v>37</v>
      </c>
      <c r="BY7" s="23">
        <v>150</v>
      </c>
      <c r="BZ7" s="23" t="s">
        <v>293</v>
      </c>
      <c r="CA7" s="24" t="s">
        <v>38</v>
      </c>
      <c r="CB7" s="28">
        <v>15000</v>
      </c>
      <c r="CC7" s="27"/>
      <c r="CD7" s="29" t="s">
        <v>47</v>
      </c>
      <c r="CF7" s="19">
        <v>1</v>
      </c>
      <c r="CG7" s="20">
        <v>0</v>
      </c>
      <c r="CH7" s="21" t="s">
        <v>41</v>
      </c>
      <c r="CI7" s="22" t="s">
        <v>36</v>
      </c>
      <c r="CJ7" s="21" t="s">
        <v>37</v>
      </c>
      <c r="CK7" s="23">
        <v>30</v>
      </c>
      <c r="CL7" s="23" t="s">
        <v>293</v>
      </c>
      <c r="CM7" s="24" t="s">
        <v>38</v>
      </c>
      <c r="CN7" s="24"/>
      <c r="CO7" s="27"/>
      <c r="CP7" s="29" t="s">
        <v>48</v>
      </c>
      <c r="CR7" s="19">
        <v>1</v>
      </c>
      <c r="CS7" s="20">
        <v>0</v>
      </c>
      <c r="CT7" s="21" t="s">
        <v>41</v>
      </c>
      <c r="CU7" s="22" t="s">
        <v>36</v>
      </c>
      <c r="CV7" s="21" t="s">
        <v>37</v>
      </c>
      <c r="CW7" s="23">
        <v>25</v>
      </c>
      <c r="CX7" s="23" t="s">
        <v>293</v>
      </c>
      <c r="CY7" s="24" t="s">
        <v>38</v>
      </c>
      <c r="CZ7" s="24"/>
      <c r="DA7" s="27"/>
      <c r="DB7" s="29" t="s">
        <v>49</v>
      </c>
      <c r="DD7" s="19">
        <v>1</v>
      </c>
      <c r="DE7" s="20">
        <v>0</v>
      </c>
      <c r="DF7" s="21" t="s">
        <v>41</v>
      </c>
      <c r="DG7" s="22" t="s">
        <v>36</v>
      </c>
      <c r="DH7" s="21" t="s">
        <v>37</v>
      </c>
      <c r="DI7" s="23">
        <v>125</v>
      </c>
      <c r="DJ7" s="23" t="s">
        <v>293</v>
      </c>
      <c r="DK7" s="24" t="s">
        <v>38</v>
      </c>
      <c r="DL7" s="24"/>
      <c r="DM7" s="27"/>
      <c r="DN7" s="29" t="s">
        <v>50</v>
      </c>
      <c r="DP7" s="19">
        <v>1</v>
      </c>
      <c r="DQ7" s="20">
        <v>0</v>
      </c>
      <c r="DR7" s="21" t="s">
        <v>41</v>
      </c>
      <c r="DS7" s="22" t="s">
        <v>36</v>
      </c>
      <c r="DT7" s="21" t="s">
        <v>37</v>
      </c>
      <c r="DU7" s="23">
        <v>6</v>
      </c>
      <c r="DV7" s="23" t="s">
        <v>293</v>
      </c>
      <c r="DW7" s="24" t="s">
        <v>38</v>
      </c>
      <c r="DX7" s="24"/>
      <c r="DY7" s="27"/>
      <c r="DZ7" s="26" t="s">
        <v>51</v>
      </c>
      <c r="EB7" s="19">
        <v>1</v>
      </c>
      <c r="EC7" s="20">
        <v>0</v>
      </c>
      <c r="ED7" s="21" t="s">
        <v>41</v>
      </c>
      <c r="EE7" s="22" t="s">
        <v>36</v>
      </c>
      <c r="EF7" s="21" t="s">
        <v>37</v>
      </c>
      <c r="EG7" s="23">
        <v>10</v>
      </c>
      <c r="EH7" s="23" t="s">
        <v>293</v>
      </c>
      <c r="EI7" s="24" t="s">
        <v>38</v>
      </c>
      <c r="EJ7" s="28"/>
      <c r="EK7" s="27"/>
      <c r="EL7" s="26" t="s">
        <v>52</v>
      </c>
      <c r="EN7" s="19">
        <v>1</v>
      </c>
      <c r="EO7" s="20">
        <v>0</v>
      </c>
      <c r="EP7" s="21" t="s">
        <v>41</v>
      </c>
      <c r="EQ7" s="22" t="s">
        <v>36</v>
      </c>
      <c r="ER7" s="21" t="s">
        <v>37</v>
      </c>
      <c r="ES7" s="23">
        <v>90</v>
      </c>
      <c r="ET7" s="23" t="s">
        <v>293</v>
      </c>
      <c r="EU7" s="24" t="s">
        <v>38</v>
      </c>
      <c r="EV7" s="24"/>
      <c r="EW7" s="27"/>
      <c r="EX7" s="26" t="s">
        <v>53</v>
      </c>
      <c r="EZ7" s="19">
        <v>1</v>
      </c>
      <c r="FA7" s="20">
        <v>0</v>
      </c>
      <c r="FB7" s="21" t="s">
        <v>35</v>
      </c>
      <c r="FC7" s="22" t="s">
        <v>36</v>
      </c>
      <c r="FD7" s="21" t="s">
        <v>54</v>
      </c>
      <c r="FE7" s="23">
        <v>20</v>
      </c>
      <c r="FF7" s="23" t="s">
        <v>55</v>
      </c>
      <c r="FG7" s="24" t="s">
        <v>38</v>
      </c>
      <c r="FH7" s="24"/>
      <c r="FI7" s="27"/>
      <c r="FJ7" s="26" t="s">
        <v>56</v>
      </c>
      <c r="FL7" s="19">
        <v>1</v>
      </c>
      <c r="FM7" s="20">
        <v>0</v>
      </c>
      <c r="FN7" s="21" t="s">
        <v>41</v>
      </c>
      <c r="FO7" s="22" t="s">
        <v>36</v>
      </c>
      <c r="FP7" s="21" t="s">
        <v>37</v>
      </c>
      <c r="FQ7" s="23">
        <v>20</v>
      </c>
      <c r="FR7" s="23" t="s">
        <v>293</v>
      </c>
      <c r="FS7" s="24" t="s">
        <v>38</v>
      </c>
      <c r="FT7" s="28"/>
      <c r="FU7" s="27"/>
      <c r="FV7" s="26" t="s">
        <v>57</v>
      </c>
      <c r="FX7" s="19">
        <v>1</v>
      </c>
      <c r="FY7" s="20">
        <v>0</v>
      </c>
      <c r="FZ7" s="21" t="s">
        <v>41</v>
      </c>
      <c r="GA7" s="22" t="s">
        <v>36</v>
      </c>
      <c r="GB7" s="21" t="s">
        <v>37</v>
      </c>
      <c r="GC7" s="23">
        <v>8</v>
      </c>
      <c r="GD7" s="23" t="s">
        <v>293</v>
      </c>
      <c r="GE7" s="24" t="s">
        <v>38</v>
      </c>
      <c r="GF7" s="24"/>
      <c r="GG7" s="27"/>
      <c r="GH7" s="26" t="s">
        <v>58</v>
      </c>
      <c r="GJ7" s="19">
        <v>1</v>
      </c>
      <c r="GK7" s="20">
        <v>0</v>
      </c>
      <c r="GL7" s="21" t="s">
        <v>41</v>
      </c>
      <c r="GM7" s="22" t="s">
        <v>36</v>
      </c>
      <c r="GN7" s="21" t="s">
        <v>37</v>
      </c>
      <c r="GO7" s="23">
        <v>60</v>
      </c>
      <c r="GP7" s="23" t="s">
        <v>293</v>
      </c>
      <c r="GQ7" s="24" t="s">
        <v>38</v>
      </c>
      <c r="GR7" s="28">
        <v>12000</v>
      </c>
      <c r="GS7" s="27"/>
      <c r="GT7" s="26" t="s">
        <v>59</v>
      </c>
      <c r="GV7" s="19">
        <v>1</v>
      </c>
      <c r="GW7" s="20">
        <v>0</v>
      </c>
      <c r="GX7" s="21" t="s">
        <v>41</v>
      </c>
      <c r="GY7" s="22" t="s">
        <v>36</v>
      </c>
      <c r="GZ7" s="21" t="s">
        <v>37</v>
      </c>
      <c r="HA7" s="23">
        <v>15</v>
      </c>
      <c r="HB7" s="23" t="s">
        <v>293</v>
      </c>
      <c r="HC7" s="24" t="s">
        <v>38</v>
      </c>
      <c r="HD7" s="28"/>
      <c r="HE7" s="27"/>
      <c r="HF7" s="26" t="s">
        <v>60</v>
      </c>
      <c r="HH7" s="19">
        <v>1</v>
      </c>
      <c r="HI7" s="20">
        <v>0</v>
      </c>
      <c r="HJ7" s="21" t="s">
        <v>41</v>
      </c>
      <c r="HK7" s="22" t="s">
        <v>36</v>
      </c>
      <c r="HL7" s="21" t="s">
        <v>37</v>
      </c>
      <c r="HM7" s="23">
        <v>50</v>
      </c>
      <c r="HN7" s="23" t="s">
        <v>293</v>
      </c>
      <c r="HO7" s="24" t="s">
        <v>38</v>
      </c>
      <c r="HP7" s="28"/>
      <c r="HQ7" s="27"/>
      <c r="HR7" s="26" t="s">
        <v>61</v>
      </c>
      <c r="HT7" s="19">
        <v>1</v>
      </c>
      <c r="HU7" s="20">
        <v>0</v>
      </c>
      <c r="HV7" s="21" t="s">
        <v>41</v>
      </c>
      <c r="HW7" s="22" t="s">
        <v>36</v>
      </c>
      <c r="HX7" s="21" t="s">
        <v>37</v>
      </c>
      <c r="HY7" s="23">
        <v>80</v>
      </c>
      <c r="HZ7" s="23" t="s">
        <v>293</v>
      </c>
      <c r="IA7" s="24" t="s">
        <v>38</v>
      </c>
      <c r="IB7" s="28"/>
      <c r="IC7" s="27"/>
      <c r="ID7" s="26" t="s">
        <v>62</v>
      </c>
      <c r="IF7" s="19">
        <v>1</v>
      </c>
      <c r="IG7" s="20">
        <v>0</v>
      </c>
      <c r="IH7" s="21" t="s">
        <v>41</v>
      </c>
      <c r="II7" s="22" t="s">
        <v>36</v>
      </c>
      <c r="IJ7" s="21" t="s">
        <v>37</v>
      </c>
      <c r="IK7" s="23">
        <v>8</v>
      </c>
      <c r="IL7" s="23" t="s">
        <v>293</v>
      </c>
      <c r="IM7" s="24" t="s">
        <v>38</v>
      </c>
      <c r="IN7" s="24"/>
      <c r="IO7" s="27"/>
      <c r="IP7" s="26" t="s">
        <v>63</v>
      </c>
      <c r="IR7" s="19">
        <v>1</v>
      </c>
      <c r="IS7" s="20">
        <v>0</v>
      </c>
      <c r="IT7" s="21" t="s">
        <v>41</v>
      </c>
      <c r="IU7" s="22" t="s">
        <v>36</v>
      </c>
      <c r="IV7" s="21" t="s">
        <v>37</v>
      </c>
      <c r="IW7" s="23">
        <v>25</v>
      </c>
      <c r="IX7" s="23" t="s">
        <v>293</v>
      </c>
      <c r="IY7" s="24" t="s">
        <v>38</v>
      </c>
      <c r="IZ7" s="24"/>
      <c r="JA7" s="27"/>
      <c r="JB7" s="26" t="s">
        <v>64</v>
      </c>
      <c r="JD7" s="19">
        <v>1</v>
      </c>
      <c r="JE7" s="20">
        <v>0</v>
      </c>
      <c r="JF7" s="21" t="s">
        <v>41</v>
      </c>
      <c r="JG7" s="22" t="s">
        <v>36</v>
      </c>
      <c r="JH7" s="21" t="s">
        <v>37</v>
      </c>
      <c r="JI7" s="23">
        <v>10</v>
      </c>
      <c r="JJ7" s="23" t="s">
        <v>293</v>
      </c>
      <c r="JK7" s="24" t="s">
        <v>38</v>
      </c>
      <c r="JL7" s="28"/>
      <c r="JM7" s="27"/>
      <c r="JN7" s="26" t="s">
        <v>65</v>
      </c>
      <c r="JP7" s="19">
        <v>1</v>
      </c>
      <c r="JQ7" s="20">
        <v>0</v>
      </c>
      <c r="JR7" s="21" t="s">
        <v>41</v>
      </c>
      <c r="JS7" s="22" t="s">
        <v>36</v>
      </c>
      <c r="JT7" s="21" t="s">
        <v>37</v>
      </c>
      <c r="JU7" s="23">
        <v>25</v>
      </c>
      <c r="JV7" s="23" t="s">
        <v>293</v>
      </c>
      <c r="JW7" s="24" t="s">
        <v>38</v>
      </c>
      <c r="JX7" s="28"/>
      <c r="JY7" s="27"/>
      <c r="JZ7" s="26" t="s">
        <v>66</v>
      </c>
      <c r="KB7" s="19">
        <v>1</v>
      </c>
      <c r="KC7" s="20">
        <v>0</v>
      </c>
      <c r="KD7" s="21" t="s">
        <v>41</v>
      </c>
      <c r="KE7" s="22" t="s">
        <v>36</v>
      </c>
      <c r="KF7" s="21" t="s">
        <v>37</v>
      </c>
      <c r="KG7" s="23">
        <v>20</v>
      </c>
      <c r="KH7" s="23" t="s">
        <v>293</v>
      </c>
      <c r="KI7" s="24" t="s">
        <v>38</v>
      </c>
      <c r="KJ7" s="28"/>
      <c r="KK7" s="27"/>
      <c r="KL7" s="26" t="s">
        <v>67</v>
      </c>
    </row>
    <row r="8" spans="1:400" ht="135" customHeight="1">
      <c r="A8" s="19">
        <f t="shared" ref="A8:A9" si="0">A7+1</f>
        <v>2</v>
      </c>
      <c r="B8" s="20">
        <v>0</v>
      </c>
      <c r="C8" s="21" t="s">
        <v>35</v>
      </c>
      <c r="D8" s="22" t="s">
        <v>36</v>
      </c>
      <c r="E8" s="21" t="s">
        <v>37</v>
      </c>
      <c r="F8" s="23">
        <v>500</v>
      </c>
      <c r="G8" s="23" t="s">
        <v>293</v>
      </c>
      <c r="H8" s="24"/>
      <c r="I8" s="25" t="s">
        <v>39</v>
      </c>
      <c r="J8" s="26" t="s">
        <v>68</v>
      </c>
      <c r="L8" s="19">
        <f>L7+1</f>
        <v>2</v>
      </c>
      <c r="M8" s="20">
        <v>0</v>
      </c>
      <c r="N8" s="21" t="s">
        <v>41</v>
      </c>
      <c r="O8" s="22" t="s">
        <v>36</v>
      </c>
      <c r="P8" s="21" t="s">
        <v>37</v>
      </c>
      <c r="Q8" s="23">
        <v>150</v>
      </c>
      <c r="R8" s="23" t="s">
        <v>293</v>
      </c>
      <c r="S8" s="30"/>
      <c r="T8" s="30"/>
      <c r="U8" s="27"/>
      <c r="V8" s="26" t="s">
        <v>69</v>
      </c>
      <c r="X8" s="19">
        <f t="shared" ref="X8:X16" si="1">X7+1</f>
        <v>2</v>
      </c>
      <c r="Y8" s="20">
        <v>0</v>
      </c>
      <c r="Z8" s="21" t="s">
        <v>41</v>
      </c>
      <c r="AA8" s="22" t="s">
        <v>36</v>
      </c>
      <c r="AB8" s="21" t="s">
        <v>37</v>
      </c>
      <c r="AC8" s="23">
        <v>100</v>
      </c>
      <c r="AD8" s="23" t="s">
        <v>293</v>
      </c>
      <c r="AE8" s="31">
        <f>1*198</f>
        <v>198</v>
      </c>
      <c r="AF8" s="31"/>
      <c r="AG8" s="27"/>
      <c r="AH8" s="26" t="s">
        <v>70</v>
      </c>
      <c r="AJ8" s="19">
        <f>AJ7+1</f>
        <v>2</v>
      </c>
      <c r="AK8" s="20">
        <v>0</v>
      </c>
      <c r="AL8" s="21" t="s">
        <v>41</v>
      </c>
      <c r="AM8" s="22" t="s">
        <v>36</v>
      </c>
      <c r="AN8" s="21" t="s">
        <v>37</v>
      </c>
      <c r="AO8" s="23">
        <v>90</v>
      </c>
      <c r="AP8" s="23" t="s">
        <v>293</v>
      </c>
      <c r="AQ8" s="24" t="s">
        <v>38</v>
      </c>
      <c r="AR8" s="28">
        <v>12500</v>
      </c>
      <c r="AS8" s="27"/>
      <c r="AT8" s="26" t="s">
        <v>71</v>
      </c>
      <c r="AV8" s="19">
        <f t="shared" ref="AV8:AV16" si="2">AV7+1</f>
        <v>2</v>
      </c>
      <c r="AW8" s="20">
        <v>0</v>
      </c>
      <c r="AX8" s="21" t="s">
        <v>41</v>
      </c>
      <c r="AY8" s="22" t="s">
        <v>36</v>
      </c>
      <c r="AZ8" s="21" t="s">
        <v>37</v>
      </c>
      <c r="BA8" s="23">
        <v>35</v>
      </c>
      <c r="BB8" s="23" t="s">
        <v>293</v>
      </c>
      <c r="BC8" s="31">
        <f>1*198</f>
        <v>198</v>
      </c>
      <c r="BD8" s="31"/>
      <c r="BE8" s="27"/>
      <c r="BF8" s="29" t="s">
        <v>72</v>
      </c>
      <c r="BH8" s="19">
        <f t="shared" ref="BH8:BH23" si="3">BH7+1</f>
        <v>2</v>
      </c>
      <c r="BI8" s="20">
        <v>0</v>
      </c>
      <c r="BJ8" s="21" t="s">
        <v>41</v>
      </c>
      <c r="BK8" s="22" t="s">
        <v>36</v>
      </c>
      <c r="BL8" s="21" t="s">
        <v>37</v>
      </c>
      <c r="BM8" s="23">
        <v>10</v>
      </c>
      <c r="BN8" s="23" t="s">
        <v>293</v>
      </c>
      <c r="BO8" s="24" t="s">
        <v>38</v>
      </c>
      <c r="BP8" s="28"/>
      <c r="BQ8" s="27"/>
      <c r="BR8" s="29" t="s">
        <v>133</v>
      </c>
      <c r="BT8" s="19">
        <f>BT7+1</f>
        <v>2</v>
      </c>
      <c r="BU8" s="20">
        <v>0</v>
      </c>
      <c r="BV8" s="21" t="s">
        <v>41</v>
      </c>
      <c r="BW8" s="22" t="s">
        <v>36</v>
      </c>
      <c r="BX8" s="21" t="s">
        <v>37</v>
      </c>
      <c r="BY8" s="23">
        <v>1500</v>
      </c>
      <c r="BZ8" s="23" t="s">
        <v>293</v>
      </c>
      <c r="CA8" s="31">
        <f>9*220</f>
        <v>1980</v>
      </c>
      <c r="CB8" s="32">
        <v>3000</v>
      </c>
      <c r="CC8" s="27"/>
      <c r="CD8" s="29" t="s">
        <v>74</v>
      </c>
      <c r="CF8" s="19">
        <f>CF7+1</f>
        <v>2</v>
      </c>
      <c r="CG8" s="20">
        <v>0</v>
      </c>
      <c r="CH8" s="21" t="s">
        <v>41</v>
      </c>
      <c r="CI8" s="22" t="s">
        <v>36</v>
      </c>
      <c r="CJ8" s="21" t="s">
        <v>37</v>
      </c>
      <c r="CK8" s="23">
        <v>200</v>
      </c>
      <c r="CL8" s="23" t="s">
        <v>293</v>
      </c>
      <c r="CM8" s="31">
        <f>1*121</f>
        <v>121</v>
      </c>
      <c r="CN8" s="31"/>
      <c r="CO8" s="27"/>
      <c r="CP8" s="29" t="s">
        <v>75</v>
      </c>
      <c r="CW8" s="3"/>
      <c r="CX8" s="3"/>
      <c r="CY8" s="3"/>
      <c r="CZ8" s="3"/>
      <c r="DB8" s="33"/>
      <c r="DD8" s="19">
        <f>DD7+1</f>
        <v>2</v>
      </c>
      <c r="DE8" s="20">
        <v>0</v>
      </c>
      <c r="DF8" s="21" t="s">
        <v>41</v>
      </c>
      <c r="DG8" s="22" t="s">
        <v>36</v>
      </c>
      <c r="DH8" s="21" t="s">
        <v>37</v>
      </c>
      <c r="DI8" s="23">
        <v>900</v>
      </c>
      <c r="DJ8" s="23" t="s">
        <v>293</v>
      </c>
      <c r="DK8" s="31">
        <f>12*166</f>
        <v>1992</v>
      </c>
      <c r="DL8" s="31"/>
      <c r="DM8" s="27"/>
      <c r="DN8" s="29" t="s">
        <v>76</v>
      </c>
      <c r="DP8" s="19">
        <f t="shared" ref="DP8:DP18" si="4">DP7+1</f>
        <v>2</v>
      </c>
      <c r="DQ8" s="20">
        <v>0</v>
      </c>
      <c r="DR8" s="21" t="s">
        <v>41</v>
      </c>
      <c r="DS8" s="22" t="s">
        <v>36</v>
      </c>
      <c r="DT8" s="21" t="s">
        <v>37</v>
      </c>
      <c r="DU8" s="23">
        <v>350</v>
      </c>
      <c r="DV8" s="23" t="s">
        <v>293</v>
      </c>
      <c r="DW8" s="31">
        <f>36*15</f>
        <v>540</v>
      </c>
      <c r="DX8" s="31"/>
      <c r="DY8" s="27"/>
      <c r="DZ8" s="26" t="s">
        <v>77</v>
      </c>
      <c r="EB8" s="19">
        <f t="shared" ref="EB8:EB19" si="5">EB7+1</f>
        <v>2</v>
      </c>
      <c r="EC8" s="20">
        <v>0</v>
      </c>
      <c r="ED8" s="21" t="s">
        <v>41</v>
      </c>
      <c r="EE8" s="22" t="s">
        <v>36</v>
      </c>
      <c r="EF8" s="21" t="s">
        <v>37</v>
      </c>
      <c r="EG8" s="23">
        <v>100</v>
      </c>
      <c r="EH8" s="23" t="s">
        <v>293</v>
      </c>
      <c r="EI8" s="24" t="s">
        <v>38</v>
      </c>
      <c r="EJ8" s="28">
        <v>1250</v>
      </c>
      <c r="EK8" s="27"/>
      <c r="EL8" s="26" t="s">
        <v>78</v>
      </c>
      <c r="EN8" s="19">
        <f t="shared" ref="EN8:EN15" si="6">EN7+1</f>
        <v>2</v>
      </c>
      <c r="EO8" s="20">
        <v>0</v>
      </c>
      <c r="EP8" s="21" t="s">
        <v>41</v>
      </c>
      <c r="EQ8" s="22" t="s">
        <v>36</v>
      </c>
      <c r="ER8" s="21" t="s">
        <v>37</v>
      </c>
      <c r="ES8" s="23">
        <v>750</v>
      </c>
      <c r="ET8" s="23" t="s">
        <v>293</v>
      </c>
      <c r="EU8" s="31">
        <f>18*111</f>
        <v>1998</v>
      </c>
      <c r="EV8" s="31"/>
      <c r="EW8" s="27"/>
      <c r="EX8" s="26" t="s">
        <v>79</v>
      </c>
      <c r="EZ8" s="19">
        <f>EZ7+1</f>
        <v>2</v>
      </c>
      <c r="FA8" s="20">
        <v>0</v>
      </c>
      <c r="FB8" s="21" t="s">
        <v>35</v>
      </c>
      <c r="FC8" s="22" t="s">
        <v>36</v>
      </c>
      <c r="FD8" s="21" t="s">
        <v>54</v>
      </c>
      <c r="FE8" s="23">
        <v>55</v>
      </c>
      <c r="FF8" s="23" t="s">
        <v>55</v>
      </c>
      <c r="FG8" s="31">
        <f>24*15</f>
        <v>360</v>
      </c>
      <c r="FH8" s="31"/>
      <c r="FI8" s="27"/>
      <c r="FJ8" s="26" t="s">
        <v>80</v>
      </c>
      <c r="FL8" s="19">
        <f>FL7+1</f>
        <v>2</v>
      </c>
      <c r="FM8" s="20">
        <v>0</v>
      </c>
      <c r="FN8" s="21" t="s">
        <v>41</v>
      </c>
      <c r="FO8" s="22" t="s">
        <v>36</v>
      </c>
      <c r="FP8" s="21" t="s">
        <v>37</v>
      </c>
      <c r="FQ8" s="23">
        <v>50</v>
      </c>
      <c r="FR8" s="23" t="s">
        <v>293</v>
      </c>
      <c r="FS8" s="24" t="s">
        <v>38</v>
      </c>
      <c r="FT8" s="28">
        <v>750</v>
      </c>
      <c r="FU8" s="27"/>
      <c r="FV8" s="26" t="s">
        <v>81</v>
      </c>
      <c r="FX8" s="19">
        <f t="shared" ref="FX8:FX23" si="7">FX7+1</f>
        <v>2</v>
      </c>
      <c r="FY8" s="20">
        <v>0</v>
      </c>
      <c r="FZ8" s="21" t="s">
        <v>41</v>
      </c>
      <c r="GA8" s="22" t="s">
        <v>36</v>
      </c>
      <c r="GB8" s="21" t="s">
        <v>37</v>
      </c>
      <c r="GC8" s="23">
        <v>150</v>
      </c>
      <c r="GD8" s="23" t="s">
        <v>293</v>
      </c>
      <c r="GE8" s="31">
        <f>3*110</f>
        <v>330</v>
      </c>
      <c r="GF8" s="31"/>
      <c r="GG8" s="27"/>
      <c r="GH8" s="26" t="s">
        <v>82</v>
      </c>
      <c r="GJ8" s="19">
        <f t="shared" ref="GJ8:GJ13" si="8">GJ7+1</f>
        <v>2</v>
      </c>
      <c r="GK8" s="20">
        <v>0</v>
      </c>
      <c r="GL8" s="21" t="s">
        <v>41</v>
      </c>
      <c r="GM8" s="22" t="s">
        <v>36</v>
      </c>
      <c r="GN8" s="21" t="s">
        <v>37</v>
      </c>
      <c r="GO8" s="23">
        <v>3550</v>
      </c>
      <c r="GP8" s="23" t="s">
        <v>293</v>
      </c>
      <c r="GQ8" s="31">
        <f>12*220</f>
        <v>2640</v>
      </c>
      <c r="GR8" s="32">
        <v>1000</v>
      </c>
      <c r="GS8" s="27"/>
      <c r="GT8" s="26" t="s">
        <v>83</v>
      </c>
      <c r="GV8" s="19">
        <f t="shared" ref="GV8:GV29" si="9">GV7+1</f>
        <v>2</v>
      </c>
      <c r="GW8" s="20">
        <v>0</v>
      </c>
      <c r="GX8" s="21" t="s">
        <v>41</v>
      </c>
      <c r="GY8" s="22" t="s">
        <v>36</v>
      </c>
      <c r="GZ8" s="21" t="s">
        <v>37</v>
      </c>
      <c r="HA8" s="23">
        <v>220</v>
      </c>
      <c r="HB8" s="23" t="s">
        <v>293</v>
      </c>
      <c r="HC8" s="24" t="s">
        <v>38</v>
      </c>
      <c r="HD8" s="28">
        <v>750</v>
      </c>
      <c r="HE8" s="27"/>
      <c r="HF8" s="26" t="s">
        <v>84</v>
      </c>
      <c r="HH8" s="19">
        <f>HH7+1</f>
        <v>2</v>
      </c>
      <c r="HI8" s="20">
        <v>0</v>
      </c>
      <c r="HJ8" s="21" t="s">
        <v>41</v>
      </c>
      <c r="HK8" s="22" t="s">
        <v>36</v>
      </c>
      <c r="HL8" s="21" t="s">
        <v>37</v>
      </c>
      <c r="HM8" s="23">
        <v>350</v>
      </c>
      <c r="HN8" s="23" t="s">
        <v>293</v>
      </c>
      <c r="HO8" s="31">
        <f>12*100</f>
        <v>1200</v>
      </c>
      <c r="HP8" s="32">
        <v>2585</v>
      </c>
      <c r="HQ8" s="27"/>
      <c r="HR8" s="26" t="s">
        <v>85</v>
      </c>
      <c r="HT8" s="19">
        <f t="shared" ref="HT8:HT18" si="10">HT7+1</f>
        <v>2</v>
      </c>
      <c r="HU8" s="20">
        <v>0</v>
      </c>
      <c r="HV8" s="21" t="s">
        <v>41</v>
      </c>
      <c r="HW8" s="22" t="s">
        <v>36</v>
      </c>
      <c r="HX8" s="21" t="s">
        <v>37</v>
      </c>
      <c r="HY8" s="23">
        <v>390</v>
      </c>
      <c r="HZ8" s="23" t="s">
        <v>293</v>
      </c>
      <c r="IA8" s="31">
        <f>20*125</f>
        <v>2500</v>
      </c>
      <c r="IB8" s="32">
        <v>1600</v>
      </c>
      <c r="IC8" s="27"/>
      <c r="ID8" s="26" t="s">
        <v>86</v>
      </c>
      <c r="IF8" s="19">
        <f>IF7+1</f>
        <v>2</v>
      </c>
      <c r="IG8" s="20">
        <v>0</v>
      </c>
      <c r="IH8" s="21" t="s">
        <v>41</v>
      </c>
      <c r="II8" s="22" t="s">
        <v>36</v>
      </c>
      <c r="IJ8" s="21" t="s">
        <v>37</v>
      </c>
      <c r="IK8" s="23">
        <v>250</v>
      </c>
      <c r="IL8" s="23" t="s">
        <v>293</v>
      </c>
      <c r="IM8" s="24" t="s">
        <v>38</v>
      </c>
      <c r="IN8" s="31"/>
      <c r="IP8" s="26" t="s">
        <v>87</v>
      </c>
      <c r="IR8" s="19">
        <f t="shared" ref="IR8:IR14" si="11">IR7+1</f>
        <v>2</v>
      </c>
      <c r="IS8" s="20">
        <v>0</v>
      </c>
      <c r="IT8" s="21" t="s">
        <v>41</v>
      </c>
      <c r="IU8" s="22" t="s">
        <v>36</v>
      </c>
      <c r="IV8" s="21" t="s">
        <v>37</v>
      </c>
      <c r="IW8" s="23">
        <v>1500</v>
      </c>
      <c r="IX8" s="23" t="s">
        <v>293</v>
      </c>
      <c r="IY8" s="31">
        <f>12*220</f>
        <v>2640</v>
      </c>
      <c r="IZ8" s="31"/>
      <c r="JA8" s="27"/>
      <c r="JB8" s="26" t="s">
        <v>88</v>
      </c>
      <c r="JD8" s="19">
        <f t="shared" ref="JD8:JD14" si="12">JD7+1</f>
        <v>2</v>
      </c>
      <c r="JE8" s="20">
        <v>0</v>
      </c>
      <c r="JF8" s="21" t="s">
        <v>41</v>
      </c>
      <c r="JG8" s="22" t="s">
        <v>36</v>
      </c>
      <c r="JH8" s="21" t="s">
        <v>37</v>
      </c>
      <c r="JI8" s="23">
        <v>250</v>
      </c>
      <c r="JJ8" s="23" t="s">
        <v>293</v>
      </c>
      <c r="JK8" s="24" t="s">
        <v>38</v>
      </c>
      <c r="JL8" s="32">
        <v>350</v>
      </c>
      <c r="JM8" s="27"/>
      <c r="JN8" s="26" t="s">
        <v>89</v>
      </c>
      <c r="JP8" s="19">
        <f t="shared" ref="JP8:JP20" si="13">JP7+1</f>
        <v>2</v>
      </c>
      <c r="JQ8" s="20">
        <v>0</v>
      </c>
      <c r="JR8" s="21" t="s">
        <v>41</v>
      </c>
      <c r="JS8" s="22" t="s">
        <v>36</v>
      </c>
      <c r="JT8" s="21" t="s">
        <v>37</v>
      </c>
      <c r="JU8" s="23">
        <v>500</v>
      </c>
      <c r="JV8" s="23" t="s">
        <v>293</v>
      </c>
      <c r="JW8" s="31">
        <f>12*120</f>
        <v>1440</v>
      </c>
      <c r="JX8" s="32">
        <v>1385</v>
      </c>
      <c r="JY8" s="27"/>
      <c r="JZ8" s="26" t="s">
        <v>90</v>
      </c>
      <c r="KB8" s="19">
        <f t="shared" ref="KB8:KB18" si="14">KB7+1</f>
        <v>2</v>
      </c>
      <c r="KC8" s="20">
        <v>0</v>
      </c>
      <c r="KD8" s="21" t="s">
        <v>41</v>
      </c>
      <c r="KE8" s="22" t="s">
        <v>36</v>
      </c>
      <c r="KF8" s="21" t="s">
        <v>37</v>
      </c>
      <c r="KG8" s="23">
        <v>500</v>
      </c>
      <c r="KH8" s="23" t="s">
        <v>293</v>
      </c>
      <c r="KI8" s="31">
        <f>20*125</f>
        <v>2500</v>
      </c>
      <c r="KJ8" s="32">
        <v>800</v>
      </c>
      <c r="KK8" s="27"/>
      <c r="KL8" s="26" t="s">
        <v>91</v>
      </c>
    </row>
    <row r="9" spans="1:400" ht="135" customHeight="1">
      <c r="A9" s="19">
        <f t="shared" si="0"/>
        <v>3</v>
      </c>
      <c r="B9" s="20">
        <v>0</v>
      </c>
      <c r="C9" s="21" t="s">
        <v>35</v>
      </c>
      <c r="D9" s="22" t="s">
        <v>36</v>
      </c>
      <c r="E9" s="21" t="s">
        <v>37</v>
      </c>
      <c r="F9" s="23">
        <v>20000</v>
      </c>
      <c r="G9" s="23" t="s">
        <v>293</v>
      </c>
      <c r="H9" s="24"/>
      <c r="I9" s="27"/>
      <c r="J9" s="26" t="s">
        <v>92</v>
      </c>
      <c r="L9" s="34"/>
      <c r="M9" s="35"/>
      <c r="N9" s="35"/>
      <c r="O9" s="35"/>
      <c r="P9" s="35"/>
      <c r="Q9" s="3"/>
      <c r="R9" s="3"/>
      <c r="S9" s="3"/>
      <c r="T9" s="3"/>
      <c r="X9" s="19">
        <f t="shared" si="1"/>
        <v>3</v>
      </c>
      <c r="Y9" s="20">
        <v>0</v>
      </c>
      <c r="Z9" s="21" t="s">
        <v>41</v>
      </c>
      <c r="AA9" s="22" t="s">
        <v>36</v>
      </c>
      <c r="AB9" s="21" t="s">
        <v>37</v>
      </c>
      <c r="AC9" s="23">
        <v>2</v>
      </c>
      <c r="AD9" s="23" t="s">
        <v>293</v>
      </c>
      <c r="AE9" s="24" t="s">
        <v>38</v>
      </c>
      <c r="AF9" s="24"/>
      <c r="AG9" s="27"/>
      <c r="AH9" s="26" t="s">
        <v>93</v>
      </c>
      <c r="AJ9" s="19">
        <f>AJ8+1</f>
        <v>3</v>
      </c>
      <c r="AK9" s="20">
        <v>0</v>
      </c>
      <c r="AL9" s="21" t="s">
        <v>41</v>
      </c>
      <c r="AM9" s="22" t="s">
        <v>36</v>
      </c>
      <c r="AN9" s="21" t="s">
        <v>37</v>
      </c>
      <c r="AO9" s="23">
        <v>10</v>
      </c>
      <c r="AP9" s="23" t="s">
        <v>293</v>
      </c>
      <c r="AQ9" s="24" t="s">
        <v>38</v>
      </c>
      <c r="AR9" s="28"/>
      <c r="AS9" s="27"/>
      <c r="AT9" s="26" t="s">
        <v>94</v>
      </c>
      <c r="AV9" s="19">
        <f t="shared" si="2"/>
        <v>3</v>
      </c>
      <c r="AW9" s="20">
        <v>0</v>
      </c>
      <c r="AX9" s="21" t="s">
        <v>41</v>
      </c>
      <c r="AY9" s="22" t="s">
        <v>36</v>
      </c>
      <c r="AZ9" s="21" t="s">
        <v>37</v>
      </c>
      <c r="BA9" s="23">
        <v>2</v>
      </c>
      <c r="BB9" s="23" t="s">
        <v>293</v>
      </c>
      <c r="BC9" s="24" t="s">
        <v>38</v>
      </c>
      <c r="BD9" s="24"/>
      <c r="BE9" s="27"/>
      <c r="BF9" s="29" t="s">
        <v>95</v>
      </c>
      <c r="BH9" s="19">
        <f t="shared" si="3"/>
        <v>3</v>
      </c>
      <c r="BI9" s="20">
        <v>0</v>
      </c>
      <c r="BJ9" s="21" t="s">
        <v>41</v>
      </c>
      <c r="BK9" s="22" t="s">
        <v>36</v>
      </c>
      <c r="BL9" s="21" t="s">
        <v>37</v>
      </c>
      <c r="BM9" s="23">
        <v>20</v>
      </c>
      <c r="BN9" s="23" t="s">
        <v>293</v>
      </c>
      <c r="BO9" s="24" t="s">
        <v>38</v>
      </c>
      <c r="BP9" s="28"/>
      <c r="BQ9" s="27"/>
      <c r="BR9" s="29" t="s">
        <v>151</v>
      </c>
      <c r="BT9" s="34"/>
      <c r="BU9" s="35"/>
      <c r="BV9" s="35"/>
      <c r="BW9" s="35"/>
      <c r="BX9" s="35"/>
      <c r="BY9" s="35"/>
      <c r="BZ9" s="35"/>
      <c r="CA9" s="35"/>
      <c r="CB9" s="35"/>
      <c r="CC9" s="35"/>
      <c r="CF9" s="34"/>
      <c r="CG9" s="35"/>
      <c r="CH9" s="35"/>
      <c r="CI9" s="35"/>
      <c r="CJ9" s="35"/>
      <c r="CK9" s="35"/>
      <c r="CL9" s="35"/>
      <c r="CM9" s="35"/>
      <c r="CN9" s="35"/>
      <c r="CR9" s="34"/>
      <c r="CS9" s="35"/>
      <c r="CT9" s="35"/>
      <c r="CU9" s="35"/>
      <c r="CV9" s="35"/>
      <c r="CW9" s="35"/>
      <c r="CX9" s="35"/>
      <c r="CY9" s="35"/>
      <c r="CZ9" s="35"/>
      <c r="DD9" s="19">
        <f>DD8+1</f>
        <v>3</v>
      </c>
      <c r="DE9" s="20">
        <v>0</v>
      </c>
      <c r="DF9" s="21" t="s">
        <v>35</v>
      </c>
      <c r="DG9" s="22" t="s">
        <v>36</v>
      </c>
      <c r="DH9" s="21" t="s">
        <v>37</v>
      </c>
      <c r="DI9" s="23">
        <v>12000</v>
      </c>
      <c r="DJ9" s="23" t="s">
        <v>308</v>
      </c>
      <c r="DK9" s="24" t="s">
        <v>38</v>
      </c>
      <c r="DL9" s="24" t="s">
        <v>38</v>
      </c>
      <c r="DM9" s="27"/>
      <c r="DN9" s="26" t="s">
        <v>97</v>
      </c>
      <c r="DP9" s="19">
        <f t="shared" si="4"/>
        <v>3</v>
      </c>
      <c r="DQ9" s="20">
        <v>0</v>
      </c>
      <c r="DR9" s="21" t="s">
        <v>41</v>
      </c>
      <c r="DS9" s="22" t="s">
        <v>36</v>
      </c>
      <c r="DT9" s="21" t="s">
        <v>37</v>
      </c>
      <c r="DU9" s="23">
        <v>6</v>
      </c>
      <c r="DV9" s="23" t="s">
        <v>293</v>
      </c>
      <c r="DW9" s="24" t="s">
        <v>38</v>
      </c>
      <c r="DX9" s="24"/>
      <c r="DY9" s="27"/>
      <c r="DZ9" s="26" t="s">
        <v>98</v>
      </c>
      <c r="EB9" s="19">
        <f t="shared" si="5"/>
        <v>3</v>
      </c>
      <c r="EC9" s="20">
        <v>0</v>
      </c>
      <c r="ED9" s="21" t="s">
        <v>41</v>
      </c>
      <c r="EE9" s="22" t="s">
        <v>36</v>
      </c>
      <c r="EF9" s="21" t="s">
        <v>37</v>
      </c>
      <c r="EG9" s="23">
        <v>30</v>
      </c>
      <c r="EH9" s="23" t="s">
        <v>293</v>
      </c>
      <c r="EI9" s="31">
        <f>10*12</f>
        <v>120</v>
      </c>
      <c r="EJ9" s="32"/>
      <c r="EK9" s="27"/>
      <c r="EL9" s="26" t="s">
        <v>99</v>
      </c>
      <c r="EN9" s="19">
        <f t="shared" si="6"/>
        <v>3</v>
      </c>
      <c r="EO9" s="20">
        <v>0</v>
      </c>
      <c r="EP9" s="21" t="s">
        <v>41</v>
      </c>
      <c r="EQ9" s="22" t="s">
        <v>36</v>
      </c>
      <c r="ER9" s="21" t="s">
        <v>37</v>
      </c>
      <c r="ES9" s="23">
        <v>275</v>
      </c>
      <c r="ET9" s="23" t="s">
        <v>293</v>
      </c>
      <c r="EU9" s="31">
        <f>29*29</f>
        <v>841</v>
      </c>
      <c r="EV9" s="31"/>
      <c r="EW9" s="27"/>
      <c r="EX9" s="26" t="s">
        <v>100</v>
      </c>
      <c r="FL9" s="19">
        <f t="shared" ref="FL9:FL25" si="15">FL8+1</f>
        <v>3</v>
      </c>
      <c r="FM9" s="20">
        <v>0</v>
      </c>
      <c r="FN9" s="21" t="s">
        <v>41</v>
      </c>
      <c r="FO9" s="22" t="s">
        <v>36</v>
      </c>
      <c r="FP9" s="21" t="s">
        <v>37</v>
      </c>
      <c r="FQ9" s="23">
        <v>75</v>
      </c>
      <c r="FR9" s="23" t="s">
        <v>293</v>
      </c>
      <c r="FS9" s="31">
        <f>150*6</f>
        <v>900</v>
      </c>
      <c r="FT9" s="32">
        <v>2304</v>
      </c>
      <c r="FU9" s="27"/>
      <c r="FV9" s="26" t="s">
        <v>101</v>
      </c>
      <c r="FX9" s="19">
        <f t="shared" si="7"/>
        <v>3</v>
      </c>
      <c r="FY9" s="20">
        <v>0</v>
      </c>
      <c r="FZ9" s="21" t="s">
        <v>41</v>
      </c>
      <c r="GA9" s="22" t="s">
        <v>36</v>
      </c>
      <c r="GB9" s="21" t="s">
        <v>37</v>
      </c>
      <c r="GC9" s="23">
        <v>8</v>
      </c>
      <c r="GD9" s="23" t="s">
        <v>293</v>
      </c>
      <c r="GE9" s="24" t="s">
        <v>38</v>
      </c>
      <c r="GF9" s="24"/>
      <c r="GG9" s="27"/>
      <c r="GH9" s="26" t="s">
        <v>102</v>
      </c>
      <c r="GJ9" s="19">
        <f t="shared" si="8"/>
        <v>3</v>
      </c>
      <c r="GK9" s="20">
        <v>0</v>
      </c>
      <c r="GL9" s="21" t="s">
        <v>41</v>
      </c>
      <c r="GM9" s="22" t="s">
        <v>36</v>
      </c>
      <c r="GN9" s="21" t="s">
        <v>37</v>
      </c>
      <c r="GO9" s="23">
        <v>55</v>
      </c>
      <c r="GP9" s="23" t="s">
        <v>293</v>
      </c>
      <c r="GQ9" s="24" t="s">
        <v>38</v>
      </c>
      <c r="GR9" s="28">
        <v>12000</v>
      </c>
      <c r="GS9" s="27"/>
      <c r="GT9" s="26" t="s">
        <v>103</v>
      </c>
      <c r="GV9" s="19">
        <f t="shared" si="9"/>
        <v>3</v>
      </c>
      <c r="GW9" s="20">
        <v>0</v>
      </c>
      <c r="GX9" s="21" t="s">
        <v>41</v>
      </c>
      <c r="GY9" s="22" t="s">
        <v>36</v>
      </c>
      <c r="GZ9" s="21" t="s">
        <v>37</v>
      </c>
      <c r="HA9" s="23">
        <v>25</v>
      </c>
      <c r="HB9" s="23" t="s">
        <v>293</v>
      </c>
      <c r="HC9" s="31">
        <f>24*10</f>
        <v>240</v>
      </c>
      <c r="HD9" s="32">
        <v>6000</v>
      </c>
      <c r="HE9" s="27"/>
      <c r="HF9" s="26" t="s">
        <v>104</v>
      </c>
      <c r="HH9" s="19">
        <f>HH8+1</f>
        <v>3</v>
      </c>
      <c r="HI9" s="20">
        <v>0</v>
      </c>
      <c r="HJ9" s="21" t="s">
        <v>41</v>
      </c>
      <c r="HK9" s="22" t="s">
        <v>36</v>
      </c>
      <c r="HL9" s="21" t="s">
        <v>37</v>
      </c>
      <c r="HM9" s="23">
        <v>50</v>
      </c>
      <c r="HN9" s="23" t="s">
        <v>293</v>
      </c>
      <c r="HO9" s="31">
        <f>4*27</f>
        <v>108</v>
      </c>
      <c r="HP9" s="32">
        <v>27168</v>
      </c>
      <c r="HQ9" s="27"/>
      <c r="HR9" s="26" t="s">
        <v>105</v>
      </c>
      <c r="HT9" s="19">
        <f t="shared" si="10"/>
        <v>3</v>
      </c>
      <c r="HU9" s="20">
        <v>0</v>
      </c>
      <c r="HV9" s="21" t="s">
        <v>41</v>
      </c>
      <c r="HW9" s="22" t="s">
        <v>36</v>
      </c>
      <c r="HX9" s="21" t="s">
        <v>37</v>
      </c>
      <c r="HY9" s="23">
        <v>1800</v>
      </c>
      <c r="HZ9" s="23" t="s">
        <v>293</v>
      </c>
      <c r="IA9" s="31">
        <f>40*125</f>
        <v>5000</v>
      </c>
      <c r="IB9" s="32">
        <v>800</v>
      </c>
      <c r="IC9" s="27"/>
      <c r="ID9" s="26" t="s">
        <v>106</v>
      </c>
      <c r="IF9" s="19">
        <f>IF8+1</f>
        <v>3</v>
      </c>
      <c r="IG9" s="20">
        <v>0</v>
      </c>
      <c r="IH9" s="21" t="s">
        <v>41</v>
      </c>
      <c r="II9" s="22" t="s">
        <v>36</v>
      </c>
      <c r="IJ9" s="21" t="s">
        <v>37</v>
      </c>
      <c r="IK9" s="23">
        <v>120</v>
      </c>
      <c r="IL9" s="23" t="s">
        <v>293</v>
      </c>
      <c r="IM9" s="31">
        <f>6*220</f>
        <v>1320</v>
      </c>
      <c r="IN9" s="31"/>
      <c r="IO9" s="27"/>
      <c r="IP9" s="26" t="s">
        <v>107</v>
      </c>
      <c r="IR9" s="19">
        <f t="shared" si="11"/>
        <v>3</v>
      </c>
      <c r="IS9" s="20">
        <v>0</v>
      </c>
      <c r="IT9" s="21" t="s">
        <v>41</v>
      </c>
      <c r="IU9" s="22" t="s">
        <v>36</v>
      </c>
      <c r="IV9" s="21" t="s">
        <v>37</v>
      </c>
      <c r="IW9" s="23">
        <v>10</v>
      </c>
      <c r="IX9" s="23" t="s">
        <v>293</v>
      </c>
      <c r="IY9" s="24" t="s">
        <v>38</v>
      </c>
      <c r="IZ9" s="24"/>
      <c r="JA9" s="27"/>
      <c r="JB9" s="26" t="s">
        <v>108</v>
      </c>
      <c r="JD9" s="19">
        <f t="shared" si="12"/>
        <v>3</v>
      </c>
      <c r="JE9" s="20">
        <v>0</v>
      </c>
      <c r="JF9" s="21" t="s">
        <v>35</v>
      </c>
      <c r="JG9" s="22" t="s">
        <v>36</v>
      </c>
      <c r="JH9" s="21" t="s">
        <v>37</v>
      </c>
      <c r="JI9" s="23">
        <v>750</v>
      </c>
      <c r="JJ9" s="23" t="s">
        <v>331</v>
      </c>
      <c r="JK9" s="31">
        <f>24*120</f>
        <v>2880</v>
      </c>
      <c r="JL9" s="28">
        <v>200</v>
      </c>
      <c r="JM9" s="27"/>
      <c r="JN9" s="26" t="s">
        <v>109</v>
      </c>
      <c r="JP9" s="19">
        <f t="shared" si="13"/>
        <v>3</v>
      </c>
      <c r="JQ9" s="20">
        <v>0</v>
      </c>
      <c r="JR9" s="21" t="s">
        <v>41</v>
      </c>
      <c r="JS9" s="22" t="s">
        <v>36</v>
      </c>
      <c r="JT9" s="21" t="s">
        <v>37</v>
      </c>
      <c r="JU9" s="23">
        <v>20</v>
      </c>
      <c r="JV9" s="23" t="s">
        <v>293</v>
      </c>
      <c r="JW9" s="24" t="s">
        <v>38</v>
      </c>
      <c r="JX9" s="28"/>
      <c r="JY9" s="27"/>
      <c r="JZ9" s="26" t="s">
        <v>110</v>
      </c>
      <c r="KB9" s="19">
        <f t="shared" si="14"/>
        <v>3</v>
      </c>
      <c r="KC9" s="20">
        <v>0</v>
      </c>
      <c r="KD9" s="21" t="s">
        <v>41</v>
      </c>
      <c r="KE9" s="22" t="s">
        <v>36</v>
      </c>
      <c r="KF9" s="21" t="s">
        <v>37</v>
      </c>
      <c r="KG9" s="23">
        <v>1500</v>
      </c>
      <c r="KH9" s="23" t="s">
        <v>293</v>
      </c>
      <c r="KI9" s="31">
        <f>40*125</f>
        <v>5000</v>
      </c>
      <c r="KJ9" s="32">
        <v>400</v>
      </c>
      <c r="KK9" s="27"/>
      <c r="KL9" s="26" t="s">
        <v>111</v>
      </c>
    </row>
    <row r="10" spans="1:400" ht="135" customHeight="1">
      <c r="X10" s="19">
        <f t="shared" si="1"/>
        <v>4</v>
      </c>
      <c r="Y10" s="20">
        <v>0</v>
      </c>
      <c r="Z10" s="21" t="s">
        <v>41</v>
      </c>
      <c r="AA10" s="22" t="s">
        <v>36</v>
      </c>
      <c r="AB10" s="21" t="s">
        <v>37</v>
      </c>
      <c r="AC10" s="23">
        <v>50</v>
      </c>
      <c r="AD10" s="23" t="s">
        <v>293</v>
      </c>
      <c r="AE10" s="31">
        <f>1*198</f>
        <v>198</v>
      </c>
      <c r="AF10" s="31"/>
      <c r="AG10" s="27"/>
      <c r="AH10" s="26" t="s">
        <v>112</v>
      </c>
      <c r="AJ10" s="19">
        <f>AJ9+1</f>
        <v>4</v>
      </c>
      <c r="AK10" s="20">
        <v>0</v>
      </c>
      <c r="AL10" s="21" t="s">
        <v>41</v>
      </c>
      <c r="AM10" s="22" t="s">
        <v>36</v>
      </c>
      <c r="AN10" s="21" t="s">
        <v>37</v>
      </c>
      <c r="AO10" s="23">
        <v>90</v>
      </c>
      <c r="AP10" s="23" t="s">
        <v>293</v>
      </c>
      <c r="AQ10" s="24" t="s">
        <v>38</v>
      </c>
      <c r="AR10" s="28">
        <v>12500</v>
      </c>
      <c r="AS10" s="27"/>
      <c r="AT10" s="26" t="s">
        <v>113</v>
      </c>
      <c r="AV10" s="19">
        <f t="shared" si="2"/>
        <v>4</v>
      </c>
      <c r="AW10" s="20">
        <v>0</v>
      </c>
      <c r="AX10" s="21" t="s">
        <v>41</v>
      </c>
      <c r="AY10" s="22" t="s">
        <v>36</v>
      </c>
      <c r="AZ10" s="21" t="s">
        <v>37</v>
      </c>
      <c r="BA10" s="23">
        <v>25</v>
      </c>
      <c r="BB10" s="23" t="s">
        <v>293</v>
      </c>
      <c r="BC10" s="31">
        <f>1*198</f>
        <v>198</v>
      </c>
      <c r="BD10" s="31"/>
      <c r="BE10" s="27"/>
      <c r="BF10" s="29" t="s">
        <v>114</v>
      </c>
      <c r="BH10" s="19">
        <f t="shared" si="3"/>
        <v>4</v>
      </c>
      <c r="BI10" s="20">
        <v>0</v>
      </c>
      <c r="BJ10" s="21" t="s">
        <v>41</v>
      </c>
      <c r="BK10" s="22" t="s">
        <v>36</v>
      </c>
      <c r="BL10" s="21" t="s">
        <v>37</v>
      </c>
      <c r="BM10" s="23">
        <v>450</v>
      </c>
      <c r="BN10" s="23" t="s">
        <v>293</v>
      </c>
      <c r="BO10" s="31">
        <f>24*180</f>
        <v>4320</v>
      </c>
      <c r="BP10" s="32"/>
      <c r="BQ10" s="27"/>
      <c r="BR10" s="29" t="s">
        <v>168</v>
      </c>
      <c r="BT10" s="34"/>
      <c r="BU10" s="35"/>
      <c r="BV10" s="35"/>
      <c r="BW10" s="35"/>
      <c r="BX10" s="35"/>
      <c r="BY10" s="35"/>
      <c r="BZ10" s="35"/>
      <c r="CA10" s="35"/>
      <c r="CB10" s="35"/>
      <c r="CC10" s="35"/>
      <c r="CF10" s="34"/>
      <c r="CG10" s="35"/>
      <c r="CH10" s="35"/>
      <c r="CI10" s="35"/>
      <c r="CJ10" s="35"/>
      <c r="CK10" s="35"/>
      <c r="CL10" s="35"/>
      <c r="CM10" s="35"/>
      <c r="CN10" s="35"/>
      <c r="CR10" s="34"/>
      <c r="CS10" s="35"/>
      <c r="CT10" s="35"/>
      <c r="CU10" s="35"/>
      <c r="CV10" s="35"/>
      <c r="CW10" s="35"/>
      <c r="CX10" s="35"/>
      <c r="CY10" s="35"/>
      <c r="CZ10" s="35"/>
      <c r="DD10" s="34"/>
      <c r="DE10" s="35"/>
      <c r="DF10" s="35"/>
      <c r="DG10" s="35"/>
      <c r="DH10" s="35"/>
      <c r="DI10" s="35"/>
      <c r="DJ10" s="35"/>
      <c r="DK10" s="35"/>
      <c r="DL10" s="35"/>
      <c r="DP10" s="19">
        <f t="shared" si="4"/>
        <v>4</v>
      </c>
      <c r="DQ10" s="20">
        <v>0</v>
      </c>
      <c r="DR10" s="21" t="s">
        <v>41</v>
      </c>
      <c r="DS10" s="22" t="s">
        <v>36</v>
      </c>
      <c r="DT10" s="21" t="s">
        <v>37</v>
      </c>
      <c r="DU10" s="23">
        <v>350</v>
      </c>
      <c r="DV10" s="23" t="s">
        <v>293</v>
      </c>
      <c r="DW10" s="31">
        <f>36*30</f>
        <v>1080</v>
      </c>
      <c r="DX10" s="31"/>
      <c r="DY10" s="27"/>
      <c r="DZ10" s="26" t="s">
        <v>116</v>
      </c>
      <c r="EB10" s="19">
        <f t="shared" si="5"/>
        <v>4</v>
      </c>
      <c r="EC10" s="20">
        <v>0</v>
      </c>
      <c r="ED10" s="21" t="s">
        <v>41</v>
      </c>
      <c r="EE10" s="22" t="s">
        <v>36</v>
      </c>
      <c r="EF10" s="21" t="s">
        <v>37</v>
      </c>
      <c r="EG10" s="23">
        <v>130</v>
      </c>
      <c r="EH10" s="23" t="s">
        <v>293</v>
      </c>
      <c r="EI10" s="24" t="s">
        <v>38</v>
      </c>
      <c r="EJ10" s="28">
        <v>1250</v>
      </c>
      <c r="EK10" s="27"/>
      <c r="EL10" s="26" t="s">
        <v>117</v>
      </c>
      <c r="EN10" s="19">
        <f t="shared" si="6"/>
        <v>4</v>
      </c>
      <c r="EO10" s="20">
        <v>0</v>
      </c>
      <c r="EP10" s="21" t="s">
        <v>41</v>
      </c>
      <c r="EQ10" s="22" t="s">
        <v>36</v>
      </c>
      <c r="ER10" s="21" t="s">
        <v>37</v>
      </c>
      <c r="ES10" s="23">
        <v>65</v>
      </c>
      <c r="ET10" s="23" t="s">
        <v>293</v>
      </c>
      <c r="EU10" s="31">
        <f>9*7</f>
        <v>63</v>
      </c>
      <c r="EV10" s="31"/>
      <c r="EW10" s="27"/>
      <c r="EX10" s="26" t="s">
        <v>118</v>
      </c>
      <c r="EZ10" s="34"/>
      <c r="FA10" s="35"/>
      <c r="FB10" s="35"/>
      <c r="FC10" s="35"/>
      <c r="FD10" s="35"/>
      <c r="FE10" s="35"/>
      <c r="FF10" s="35"/>
      <c r="FG10" s="35"/>
      <c r="FH10" s="35"/>
      <c r="FL10" s="19">
        <f t="shared" si="15"/>
        <v>4</v>
      </c>
      <c r="FM10" s="20">
        <v>0</v>
      </c>
      <c r="FN10" s="21" t="s">
        <v>41</v>
      </c>
      <c r="FO10" s="22" t="s">
        <v>36</v>
      </c>
      <c r="FP10" s="21" t="s">
        <v>37</v>
      </c>
      <c r="FQ10" s="23">
        <v>600</v>
      </c>
      <c r="FR10" s="23" t="s">
        <v>293</v>
      </c>
      <c r="FS10" s="31">
        <f>24*150</f>
        <v>3600</v>
      </c>
      <c r="FT10" s="32">
        <v>576</v>
      </c>
      <c r="FU10" s="27"/>
      <c r="FV10" s="26" t="s">
        <v>119</v>
      </c>
      <c r="FX10" s="19">
        <f t="shared" si="7"/>
        <v>4</v>
      </c>
      <c r="FY10" s="20">
        <v>0</v>
      </c>
      <c r="FZ10" s="21" t="s">
        <v>41</v>
      </c>
      <c r="GA10" s="22" t="s">
        <v>36</v>
      </c>
      <c r="GB10" s="21" t="s">
        <v>37</v>
      </c>
      <c r="GC10" s="23">
        <v>55</v>
      </c>
      <c r="GD10" s="23" t="s">
        <v>293</v>
      </c>
      <c r="GE10" s="31">
        <f>3*110</f>
        <v>330</v>
      </c>
      <c r="GF10" s="31"/>
      <c r="GG10" s="27"/>
      <c r="GH10" s="26" t="s">
        <v>120</v>
      </c>
      <c r="GJ10" s="19">
        <f t="shared" si="8"/>
        <v>4</v>
      </c>
      <c r="GK10" s="20">
        <v>0</v>
      </c>
      <c r="GL10" s="21" t="s">
        <v>41</v>
      </c>
      <c r="GM10" s="22" t="s">
        <v>36</v>
      </c>
      <c r="GN10" s="21" t="s">
        <v>37</v>
      </c>
      <c r="GO10" s="23">
        <v>750</v>
      </c>
      <c r="GP10" s="23" t="s">
        <v>293</v>
      </c>
      <c r="GQ10" s="31">
        <f>12*220</f>
        <v>2640</v>
      </c>
      <c r="GR10" s="32">
        <v>1000</v>
      </c>
      <c r="GS10" s="27"/>
      <c r="GT10" s="26" t="s">
        <v>121</v>
      </c>
      <c r="GV10" s="19">
        <f t="shared" si="9"/>
        <v>4</v>
      </c>
      <c r="GW10" s="20">
        <v>0</v>
      </c>
      <c r="GX10" s="21" t="s">
        <v>41</v>
      </c>
      <c r="GY10" s="22" t="s">
        <v>36</v>
      </c>
      <c r="GZ10" s="21" t="s">
        <v>37</v>
      </c>
      <c r="HA10" s="23">
        <v>60</v>
      </c>
      <c r="HB10" s="23" t="s">
        <v>293</v>
      </c>
      <c r="HC10" s="24" t="s">
        <v>38</v>
      </c>
      <c r="HD10" s="28">
        <v>750</v>
      </c>
      <c r="HE10" s="27"/>
      <c r="HF10" s="26" t="s">
        <v>122</v>
      </c>
      <c r="HH10" s="19">
        <f>HH9+1</f>
        <v>4</v>
      </c>
      <c r="HI10" s="20">
        <v>0</v>
      </c>
      <c r="HJ10" s="21" t="s">
        <v>41</v>
      </c>
      <c r="HK10" s="22" t="s">
        <v>36</v>
      </c>
      <c r="HL10" s="21" t="s">
        <v>37</v>
      </c>
      <c r="HM10" s="23">
        <v>375</v>
      </c>
      <c r="HN10" s="23" t="s">
        <v>293</v>
      </c>
      <c r="HO10" s="31">
        <f>48*27</f>
        <v>1296</v>
      </c>
      <c r="HP10" s="32">
        <v>2373</v>
      </c>
      <c r="HQ10" s="27"/>
      <c r="HR10" s="26" t="s">
        <v>123</v>
      </c>
      <c r="HT10" s="19">
        <f t="shared" si="10"/>
        <v>4</v>
      </c>
      <c r="HU10" s="20">
        <v>0</v>
      </c>
      <c r="HV10" s="21" t="s">
        <v>41</v>
      </c>
      <c r="HW10" s="22" t="s">
        <v>36</v>
      </c>
      <c r="HX10" s="21" t="s">
        <v>37</v>
      </c>
      <c r="HY10" s="23">
        <v>110</v>
      </c>
      <c r="HZ10" s="23" t="s">
        <v>293</v>
      </c>
      <c r="IA10" s="31">
        <f>40*20</f>
        <v>800</v>
      </c>
      <c r="IB10" s="32">
        <v>5000</v>
      </c>
      <c r="IC10" s="27"/>
      <c r="ID10" s="26" t="s">
        <v>124</v>
      </c>
      <c r="IF10" s="19">
        <f t="shared" ref="IF10:IF20" si="16">IF9+1</f>
        <v>4</v>
      </c>
      <c r="IG10" s="20">
        <v>0</v>
      </c>
      <c r="IH10" s="21" t="s">
        <v>41</v>
      </c>
      <c r="II10" s="22" t="s">
        <v>36</v>
      </c>
      <c r="IJ10" s="21" t="s">
        <v>37</v>
      </c>
      <c r="IK10" s="23">
        <v>1000</v>
      </c>
      <c r="IL10" s="23" t="s">
        <v>293</v>
      </c>
      <c r="IM10" s="24" t="s">
        <v>38</v>
      </c>
      <c r="IN10" s="31"/>
      <c r="IO10" s="25"/>
      <c r="IP10" s="26" t="s">
        <v>125</v>
      </c>
      <c r="IR10" s="19">
        <f t="shared" si="11"/>
        <v>4</v>
      </c>
      <c r="IS10" s="20">
        <v>0</v>
      </c>
      <c r="IT10" s="21" t="s">
        <v>41</v>
      </c>
      <c r="IU10" s="22" t="s">
        <v>36</v>
      </c>
      <c r="IV10" s="21" t="s">
        <v>37</v>
      </c>
      <c r="IW10" s="23">
        <v>700</v>
      </c>
      <c r="IX10" s="23" t="s">
        <v>293</v>
      </c>
      <c r="IY10" s="31">
        <f>12*220</f>
        <v>2640</v>
      </c>
      <c r="IZ10" s="31"/>
      <c r="JA10" s="27"/>
      <c r="JB10" s="26" t="s">
        <v>126</v>
      </c>
      <c r="JD10" s="19">
        <f t="shared" si="12"/>
        <v>4</v>
      </c>
      <c r="JE10" s="20">
        <v>0</v>
      </c>
      <c r="JF10" s="21" t="s">
        <v>35</v>
      </c>
      <c r="JG10" s="22" t="s">
        <v>36</v>
      </c>
      <c r="JH10" s="21" t="s">
        <v>37</v>
      </c>
      <c r="JI10" s="23">
        <v>6500</v>
      </c>
      <c r="JJ10" s="23" t="s">
        <v>329</v>
      </c>
      <c r="JK10" s="31">
        <f>86*120</f>
        <v>10320</v>
      </c>
      <c r="JL10" s="32">
        <v>150</v>
      </c>
      <c r="JM10" s="27"/>
      <c r="JN10" s="26" t="s">
        <v>127</v>
      </c>
      <c r="JP10" s="19">
        <f t="shared" si="13"/>
        <v>4</v>
      </c>
      <c r="JQ10" s="20">
        <v>0</v>
      </c>
      <c r="JR10" s="21" t="s">
        <v>41</v>
      </c>
      <c r="JS10" s="22" t="s">
        <v>36</v>
      </c>
      <c r="JT10" s="21" t="s">
        <v>37</v>
      </c>
      <c r="JU10" s="23">
        <v>550</v>
      </c>
      <c r="JV10" s="23" t="s">
        <v>293</v>
      </c>
      <c r="JW10" s="31">
        <f>12*100</f>
        <v>1200</v>
      </c>
      <c r="JX10" s="32">
        <v>1665</v>
      </c>
      <c r="JY10" s="27"/>
      <c r="JZ10" s="26" t="s">
        <v>128</v>
      </c>
      <c r="KB10" s="19">
        <f t="shared" si="14"/>
        <v>4</v>
      </c>
      <c r="KC10" s="20">
        <v>0</v>
      </c>
      <c r="KD10" s="21" t="s">
        <v>41</v>
      </c>
      <c r="KE10" s="22" t="s">
        <v>36</v>
      </c>
      <c r="KF10" s="21" t="s">
        <v>37</v>
      </c>
      <c r="KG10" s="23">
        <v>20</v>
      </c>
      <c r="KH10" s="23" t="s">
        <v>293</v>
      </c>
      <c r="KI10" s="24" t="s">
        <v>38</v>
      </c>
      <c r="KJ10" s="28"/>
      <c r="KK10" s="27"/>
      <c r="KL10" s="26" t="s">
        <v>129</v>
      </c>
    </row>
    <row r="11" spans="1:400" ht="135" customHeight="1">
      <c r="X11" s="19">
        <f t="shared" si="1"/>
        <v>5</v>
      </c>
      <c r="Y11" s="20">
        <v>0</v>
      </c>
      <c r="Z11" s="21" t="s">
        <v>41</v>
      </c>
      <c r="AA11" s="22" t="s">
        <v>36</v>
      </c>
      <c r="AB11" s="21" t="s">
        <v>37</v>
      </c>
      <c r="AC11" s="23">
        <v>2</v>
      </c>
      <c r="AD11" s="23" t="s">
        <v>293</v>
      </c>
      <c r="AE11" s="24" t="s">
        <v>38</v>
      </c>
      <c r="AF11" s="24"/>
      <c r="AG11" s="27"/>
      <c r="AH11" s="26" t="s">
        <v>130</v>
      </c>
      <c r="AJ11" s="19">
        <f>AJ10+1</f>
        <v>5</v>
      </c>
      <c r="AK11" s="20">
        <v>0</v>
      </c>
      <c r="AL11" s="21" t="s">
        <v>41</v>
      </c>
      <c r="AM11" s="22" t="s">
        <v>36</v>
      </c>
      <c r="AN11" s="21" t="s">
        <v>37</v>
      </c>
      <c r="AO11" s="23">
        <v>600</v>
      </c>
      <c r="AP11" s="23" t="s">
        <v>293</v>
      </c>
      <c r="AQ11" s="31">
        <f>36*21</f>
        <v>756</v>
      </c>
      <c r="AR11" s="32"/>
      <c r="AS11" s="27"/>
      <c r="AT11" s="26" t="s">
        <v>131</v>
      </c>
      <c r="AV11" s="19">
        <f t="shared" si="2"/>
        <v>5</v>
      </c>
      <c r="AW11" s="20">
        <v>0</v>
      </c>
      <c r="AX11" s="21" t="s">
        <v>41</v>
      </c>
      <c r="AY11" s="22" t="s">
        <v>36</v>
      </c>
      <c r="AZ11" s="21" t="s">
        <v>37</v>
      </c>
      <c r="BA11" s="23">
        <v>2</v>
      </c>
      <c r="BB11" s="23" t="s">
        <v>293</v>
      </c>
      <c r="BC11" s="24" t="s">
        <v>38</v>
      </c>
      <c r="BD11" s="24"/>
      <c r="BE11" s="27"/>
      <c r="BF11" s="29" t="s">
        <v>132</v>
      </c>
      <c r="BH11" s="19">
        <f t="shared" si="3"/>
        <v>5</v>
      </c>
      <c r="BI11" s="20">
        <v>0</v>
      </c>
      <c r="BJ11" s="21" t="s">
        <v>41</v>
      </c>
      <c r="BK11" s="22" t="s">
        <v>36</v>
      </c>
      <c r="BL11" s="21" t="s">
        <v>37</v>
      </c>
      <c r="BM11" s="23">
        <v>200</v>
      </c>
      <c r="BN11" s="23" t="s">
        <v>293</v>
      </c>
      <c r="BO11" s="24" t="s">
        <v>38</v>
      </c>
      <c r="BP11" s="28">
        <v>6500</v>
      </c>
      <c r="BQ11" s="27"/>
      <c r="BR11" s="29" t="s">
        <v>184</v>
      </c>
      <c r="BU11" s="35"/>
      <c r="BV11" s="35"/>
      <c r="BW11" s="35"/>
      <c r="BX11" s="35"/>
      <c r="BY11" s="35"/>
      <c r="BZ11" s="35"/>
      <c r="CA11" s="35"/>
      <c r="CB11" s="35"/>
      <c r="CC11" s="35"/>
      <c r="CK11" s="35"/>
      <c r="CL11" s="35"/>
      <c r="CM11" s="35"/>
      <c r="CN11" s="35"/>
      <c r="CW11" s="35"/>
      <c r="CX11" s="35"/>
      <c r="CY11" s="35"/>
      <c r="CZ11" s="35"/>
      <c r="DI11" s="35"/>
      <c r="DJ11" s="35"/>
      <c r="DK11" s="35"/>
      <c r="DL11" s="35"/>
      <c r="DP11" s="19">
        <f t="shared" si="4"/>
        <v>5</v>
      </c>
      <c r="DQ11" s="20">
        <v>0</v>
      </c>
      <c r="DR11" s="21" t="s">
        <v>41</v>
      </c>
      <c r="DS11" s="22" t="s">
        <v>36</v>
      </c>
      <c r="DT11" s="21" t="s">
        <v>37</v>
      </c>
      <c r="DU11" s="23">
        <v>6</v>
      </c>
      <c r="DV11" s="23" t="s">
        <v>293</v>
      </c>
      <c r="DW11" s="24" t="s">
        <v>38</v>
      </c>
      <c r="DX11" s="24"/>
      <c r="DY11" s="27"/>
      <c r="DZ11" s="26" t="s">
        <v>134</v>
      </c>
      <c r="EB11" s="19">
        <f t="shared" si="5"/>
        <v>5</v>
      </c>
      <c r="EC11" s="20">
        <v>0</v>
      </c>
      <c r="ED11" s="21" t="s">
        <v>41</v>
      </c>
      <c r="EE11" s="22" t="s">
        <v>36</v>
      </c>
      <c r="EF11" s="21" t="s">
        <v>37</v>
      </c>
      <c r="EG11" s="23">
        <v>300</v>
      </c>
      <c r="EH11" s="23" t="s">
        <v>293</v>
      </c>
      <c r="EI11" s="31">
        <f>72*10</f>
        <v>720</v>
      </c>
      <c r="EJ11" s="32"/>
      <c r="EK11" s="27"/>
      <c r="EL11" s="26" t="s">
        <v>135</v>
      </c>
      <c r="EN11" s="19">
        <f t="shared" si="6"/>
        <v>5</v>
      </c>
      <c r="EO11" s="20">
        <v>0</v>
      </c>
      <c r="EP11" s="21" t="s">
        <v>41</v>
      </c>
      <c r="EQ11" s="22" t="s">
        <v>36</v>
      </c>
      <c r="ER11" s="21" t="s">
        <v>37</v>
      </c>
      <c r="ES11" s="23">
        <v>290</v>
      </c>
      <c r="ET11" s="23" t="s">
        <v>293</v>
      </c>
      <c r="EU11" s="31">
        <f>18*29</f>
        <v>522</v>
      </c>
      <c r="EV11" s="31"/>
      <c r="EW11" s="27"/>
      <c r="EX11" s="26" t="s">
        <v>136</v>
      </c>
      <c r="FL11" s="19">
        <f t="shared" si="15"/>
        <v>5</v>
      </c>
      <c r="FM11" s="20">
        <v>0</v>
      </c>
      <c r="FN11" s="21" t="s">
        <v>41</v>
      </c>
      <c r="FO11" s="22" t="s">
        <v>36</v>
      </c>
      <c r="FP11" s="21" t="s">
        <v>37</v>
      </c>
      <c r="FQ11" s="23">
        <v>2500</v>
      </c>
      <c r="FR11" s="23" t="s">
        <v>293</v>
      </c>
      <c r="FS11" s="31">
        <f>96*150</f>
        <v>14400</v>
      </c>
      <c r="FT11" s="32">
        <v>120</v>
      </c>
      <c r="FU11" s="27"/>
      <c r="FV11" s="26" t="s">
        <v>137</v>
      </c>
      <c r="FX11" s="19">
        <f t="shared" si="7"/>
        <v>5</v>
      </c>
      <c r="FY11" s="20">
        <v>0</v>
      </c>
      <c r="FZ11" s="21" t="s">
        <v>41</v>
      </c>
      <c r="GA11" s="22" t="s">
        <v>36</v>
      </c>
      <c r="GB11" s="21" t="s">
        <v>37</v>
      </c>
      <c r="GC11" s="23">
        <v>50</v>
      </c>
      <c r="GD11" s="23" t="s">
        <v>293</v>
      </c>
      <c r="GE11" s="31">
        <f>10*12</f>
        <v>120</v>
      </c>
      <c r="GF11" s="31"/>
      <c r="GG11" s="27"/>
      <c r="GH11" s="26" t="s">
        <v>138</v>
      </c>
      <c r="GJ11" s="19">
        <f t="shared" si="8"/>
        <v>5</v>
      </c>
      <c r="GK11" s="20">
        <v>0</v>
      </c>
      <c r="GL11" s="21" t="s">
        <v>41</v>
      </c>
      <c r="GM11" s="22" t="s">
        <v>36</v>
      </c>
      <c r="GN11" s="21" t="s">
        <v>37</v>
      </c>
      <c r="GO11" s="23">
        <v>100</v>
      </c>
      <c r="GP11" s="23" t="s">
        <v>293</v>
      </c>
      <c r="GQ11" s="31">
        <f>8*20</f>
        <v>160</v>
      </c>
      <c r="GR11" s="32">
        <v>16500</v>
      </c>
      <c r="GS11" s="27"/>
      <c r="GT11" s="26" t="s">
        <v>139</v>
      </c>
      <c r="GV11" s="19">
        <f t="shared" si="9"/>
        <v>5</v>
      </c>
      <c r="GW11" s="20">
        <v>0</v>
      </c>
      <c r="GX11" s="21" t="s">
        <v>41</v>
      </c>
      <c r="GY11" s="22" t="s">
        <v>36</v>
      </c>
      <c r="GZ11" s="21" t="s">
        <v>37</v>
      </c>
      <c r="HA11" s="23">
        <v>175</v>
      </c>
      <c r="HB11" s="23" t="s">
        <v>293</v>
      </c>
      <c r="HC11" s="31">
        <f>96*10</f>
        <v>960</v>
      </c>
      <c r="HD11" s="32">
        <v>1500</v>
      </c>
      <c r="HE11" s="27"/>
      <c r="HF11" s="26" t="s">
        <v>140</v>
      </c>
      <c r="HH11" s="19">
        <f>HH10+1</f>
        <v>5</v>
      </c>
      <c r="HI11" s="20">
        <v>0</v>
      </c>
      <c r="HJ11" s="21" t="s">
        <v>35</v>
      </c>
      <c r="HK11" s="22" t="s">
        <v>36</v>
      </c>
      <c r="HL11" s="21" t="s">
        <v>37</v>
      </c>
      <c r="HM11" s="23">
        <v>375</v>
      </c>
      <c r="HN11" s="23" t="s">
        <v>329</v>
      </c>
      <c r="HO11" s="31">
        <f>24*18</f>
        <v>432</v>
      </c>
      <c r="HP11" s="32">
        <v>6792</v>
      </c>
      <c r="HQ11" s="27"/>
      <c r="HR11" s="26" t="s">
        <v>141</v>
      </c>
      <c r="HT11" s="19">
        <f t="shared" si="10"/>
        <v>5</v>
      </c>
      <c r="HU11" s="20">
        <v>0</v>
      </c>
      <c r="HV11" s="21" t="s">
        <v>41</v>
      </c>
      <c r="HW11" s="22" t="s">
        <v>36</v>
      </c>
      <c r="HX11" s="21" t="s">
        <v>37</v>
      </c>
      <c r="HY11" s="23">
        <v>900</v>
      </c>
      <c r="HZ11" s="23" t="s">
        <v>293</v>
      </c>
      <c r="IA11" s="31">
        <f>20*160</f>
        <v>3200</v>
      </c>
      <c r="IB11" s="32">
        <v>1250</v>
      </c>
      <c r="IC11" s="27"/>
      <c r="ID11" s="26" t="s">
        <v>142</v>
      </c>
      <c r="IF11" s="19">
        <f t="shared" si="16"/>
        <v>5</v>
      </c>
      <c r="IG11" s="20">
        <v>0</v>
      </c>
      <c r="IH11" s="21" t="s">
        <v>41</v>
      </c>
      <c r="II11" s="22" t="s">
        <v>36</v>
      </c>
      <c r="IJ11" s="21" t="s">
        <v>37</v>
      </c>
      <c r="IK11" s="23">
        <v>550</v>
      </c>
      <c r="IL11" s="23" t="s">
        <v>293</v>
      </c>
      <c r="IM11" s="24" t="s">
        <v>38</v>
      </c>
      <c r="IN11" s="24"/>
      <c r="IO11" s="27"/>
      <c r="IP11" s="26" t="s">
        <v>143</v>
      </c>
      <c r="IR11" s="19">
        <f t="shared" si="11"/>
        <v>5</v>
      </c>
      <c r="IS11" s="20">
        <v>0</v>
      </c>
      <c r="IT11" s="21" t="s">
        <v>41</v>
      </c>
      <c r="IU11" s="22" t="s">
        <v>36</v>
      </c>
      <c r="IV11" s="21" t="s">
        <v>37</v>
      </c>
      <c r="IW11" s="23">
        <v>250</v>
      </c>
      <c r="IX11" s="23" t="s">
        <v>293</v>
      </c>
      <c r="IY11" s="31">
        <f>8*29</f>
        <v>232</v>
      </c>
      <c r="IZ11" s="31"/>
      <c r="JA11" s="27"/>
      <c r="JB11" s="26" t="s">
        <v>144</v>
      </c>
      <c r="JD11" s="19">
        <f t="shared" si="12"/>
        <v>5</v>
      </c>
      <c r="JE11" s="20">
        <v>0</v>
      </c>
      <c r="JF11" s="21" t="s">
        <v>41</v>
      </c>
      <c r="JG11" s="22" t="s">
        <v>36</v>
      </c>
      <c r="JH11" s="21" t="s">
        <v>37</v>
      </c>
      <c r="JI11" s="23">
        <v>10</v>
      </c>
      <c r="JJ11" s="23" t="s">
        <v>293</v>
      </c>
      <c r="JK11" s="24" t="s">
        <v>38</v>
      </c>
      <c r="JL11" s="32"/>
      <c r="JM11" s="27"/>
      <c r="JN11" s="26" t="s">
        <v>145</v>
      </c>
      <c r="JP11" s="19">
        <f t="shared" si="13"/>
        <v>5</v>
      </c>
      <c r="JQ11" s="20">
        <v>0</v>
      </c>
      <c r="JR11" s="21" t="s">
        <v>41</v>
      </c>
      <c r="JS11" s="22" t="s">
        <v>36</v>
      </c>
      <c r="JT11" s="21" t="s">
        <v>37</v>
      </c>
      <c r="JU11" s="23">
        <v>35</v>
      </c>
      <c r="JV11" s="23" t="s">
        <v>293</v>
      </c>
      <c r="JW11" s="31">
        <f>4*33</f>
        <v>132</v>
      </c>
      <c r="JX11" s="32">
        <v>12600</v>
      </c>
      <c r="JY11" s="27"/>
      <c r="JZ11" s="26" t="s">
        <v>146</v>
      </c>
      <c r="KB11" s="19">
        <f t="shared" si="14"/>
        <v>5</v>
      </c>
      <c r="KC11" s="20">
        <v>0</v>
      </c>
      <c r="KD11" s="21" t="s">
        <v>41</v>
      </c>
      <c r="KE11" s="22" t="s">
        <v>36</v>
      </c>
      <c r="KF11" s="21" t="s">
        <v>37</v>
      </c>
      <c r="KG11" s="23">
        <v>450</v>
      </c>
      <c r="KH11" s="23" t="s">
        <v>293</v>
      </c>
      <c r="KI11" s="31">
        <f>20*125</f>
        <v>2500</v>
      </c>
      <c r="KJ11" s="32">
        <v>800</v>
      </c>
      <c r="KK11" s="27"/>
      <c r="KL11" s="26" t="s">
        <v>147</v>
      </c>
    </row>
    <row r="12" spans="1:400" ht="135" customHeight="1">
      <c r="X12" s="19">
        <f t="shared" si="1"/>
        <v>6</v>
      </c>
      <c r="Y12" s="20">
        <v>0</v>
      </c>
      <c r="Z12" s="21" t="s">
        <v>41</v>
      </c>
      <c r="AA12" s="22" t="s">
        <v>36</v>
      </c>
      <c r="AB12" s="21" t="s">
        <v>37</v>
      </c>
      <c r="AC12" s="23">
        <v>50</v>
      </c>
      <c r="AD12" s="23" t="s">
        <v>293</v>
      </c>
      <c r="AE12" s="31">
        <f>1*198</f>
        <v>198</v>
      </c>
      <c r="AF12" s="31"/>
      <c r="AG12" s="27"/>
      <c r="AH12" s="26" t="s">
        <v>148</v>
      </c>
      <c r="AJ12" s="19">
        <f>AJ11+1</f>
        <v>6</v>
      </c>
      <c r="AK12" s="20">
        <v>0</v>
      </c>
      <c r="AL12" s="21" t="s">
        <v>41</v>
      </c>
      <c r="AM12" s="22" t="s">
        <v>36</v>
      </c>
      <c r="AN12" s="21" t="s">
        <v>37</v>
      </c>
      <c r="AO12" s="23">
        <v>650</v>
      </c>
      <c r="AP12" s="23" t="s">
        <v>293</v>
      </c>
      <c r="AQ12" s="24" t="s">
        <v>38</v>
      </c>
      <c r="AR12" s="28">
        <v>12500</v>
      </c>
      <c r="AS12" s="27"/>
      <c r="AT12" s="26" t="s">
        <v>149</v>
      </c>
      <c r="AV12" s="19">
        <f t="shared" si="2"/>
        <v>6</v>
      </c>
      <c r="AW12" s="20">
        <v>0</v>
      </c>
      <c r="AX12" s="21" t="s">
        <v>41</v>
      </c>
      <c r="AY12" s="22" t="s">
        <v>36</v>
      </c>
      <c r="AZ12" s="21" t="s">
        <v>37</v>
      </c>
      <c r="BA12" s="23">
        <v>25</v>
      </c>
      <c r="BB12" s="23" t="s">
        <v>293</v>
      </c>
      <c r="BC12" s="31">
        <f>1*198</f>
        <v>198</v>
      </c>
      <c r="BD12" s="31"/>
      <c r="BE12" s="27"/>
      <c r="BF12" s="29" t="s">
        <v>150</v>
      </c>
      <c r="BH12" s="19">
        <f t="shared" si="3"/>
        <v>6</v>
      </c>
      <c r="BI12" s="20">
        <v>0</v>
      </c>
      <c r="BJ12" s="21" t="s">
        <v>41</v>
      </c>
      <c r="BK12" s="22" t="s">
        <v>36</v>
      </c>
      <c r="BL12" s="21" t="s">
        <v>37</v>
      </c>
      <c r="BM12" s="23">
        <v>10</v>
      </c>
      <c r="BN12" s="23" t="s">
        <v>293</v>
      </c>
      <c r="BO12" s="24" t="s">
        <v>38</v>
      </c>
      <c r="BP12" s="28"/>
      <c r="BQ12" s="27"/>
      <c r="BR12" s="29" t="s">
        <v>46</v>
      </c>
      <c r="BU12" s="35"/>
      <c r="BV12" s="35"/>
      <c r="BW12" s="35"/>
      <c r="BX12" s="35"/>
      <c r="BY12" s="35"/>
      <c r="BZ12" s="35"/>
      <c r="CA12" s="35"/>
      <c r="CB12" s="35"/>
      <c r="CC12" s="35"/>
      <c r="CK12" s="35"/>
      <c r="CL12" s="35"/>
      <c r="CM12" s="35"/>
      <c r="CN12" s="35"/>
      <c r="CW12" s="35"/>
      <c r="CX12" s="35"/>
      <c r="CY12" s="35"/>
      <c r="CZ12" s="35"/>
      <c r="DI12" s="35"/>
      <c r="DJ12" s="35"/>
      <c r="DK12" s="35"/>
      <c r="DL12" s="35"/>
      <c r="DP12" s="19">
        <f t="shared" si="4"/>
        <v>6</v>
      </c>
      <c r="DQ12" s="20">
        <v>0</v>
      </c>
      <c r="DR12" s="21" t="s">
        <v>41</v>
      </c>
      <c r="DS12" s="22" t="s">
        <v>36</v>
      </c>
      <c r="DT12" s="21" t="s">
        <v>37</v>
      </c>
      <c r="DU12" s="23">
        <v>350</v>
      </c>
      <c r="DV12" s="23" t="s">
        <v>293</v>
      </c>
      <c r="DW12" s="31">
        <f>36*30</f>
        <v>1080</v>
      </c>
      <c r="DX12" s="31"/>
      <c r="DY12" s="27"/>
      <c r="DZ12" s="26" t="s">
        <v>152</v>
      </c>
      <c r="EB12" s="19">
        <f t="shared" si="5"/>
        <v>6</v>
      </c>
      <c r="EC12" s="20">
        <v>0</v>
      </c>
      <c r="ED12" s="21" t="s">
        <v>41</v>
      </c>
      <c r="EE12" s="22" t="s">
        <v>36</v>
      </c>
      <c r="EF12" s="21" t="s">
        <v>37</v>
      </c>
      <c r="EG12" s="23">
        <v>550</v>
      </c>
      <c r="EH12" s="23" t="s">
        <v>293</v>
      </c>
      <c r="EI12" s="24" t="s">
        <v>38</v>
      </c>
      <c r="EJ12" s="28">
        <v>1250</v>
      </c>
      <c r="EK12" s="27"/>
      <c r="EL12" s="26" t="s">
        <v>153</v>
      </c>
      <c r="EN12" s="19">
        <f t="shared" si="6"/>
        <v>6</v>
      </c>
      <c r="EO12" s="20">
        <v>0</v>
      </c>
      <c r="EP12" s="21" t="s">
        <v>41</v>
      </c>
      <c r="EQ12" s="22" t="s">
        <v>36</v>
      </c>
      <c r="ER12" s="21" t="s">
        <v>37</v>
      </c>
      <c r="ES12" s="23">
        <v>40</v>
      </c>
      <c r="ET12" s="23" t="s">
        <v>293</v>
      </c>
      <c r="EU12" s="24" t="s">
        <v>38</v>
      </c>
      <c r="EV12" s="24"/>
      <c r="EW12" s="27"/>
      <c r="EX12" s="26" t="s">
        <v>154</v>
      </c>
      <c r="FE12" s="35"/>
      <c r="FF12" s="35"/>
      <c r="FG12" s="35"/>
      <c r="FH12" s="35"/>
      <c r="FL12" s="19">
        <f t="shared" si="15"/>
        <v>6</v>
      </c>
      <c r="FM12" s="20">
        <v>0</v>
      </c>
      <c r="FN12" s="21" t="s">
        <v>41</v>
      </c>
      <c r="FO12" s="22" t="s">
        <v>36</v>
      </c>
      <c r="FP12" s="21" t="s">
        <v>37</v>
      </c>
      <c r="FQ12" s="23">
        <v>20</v>
      </c>
      <c r="FR12" s="23" t="s">
        <v>293</v>
      </c>
      <c r="FS12" s="24" t="s">
        <v>38</v>
      </c>
      <c r="FT12" s="28"/>
      <c r="FU12" s="27"/>
      <c r="FV12" s="26" t="s">
        <v>155</v>
      </c>
      <c r="FX12" s="19">
        <f t="shared" si="7"/>
        <v>6</v>
      </c>
      <c r="FY12" s="20">
        <v>0</v>
      </c>
      <c r="FZ12" s="21" t="s">
        <v>41</v>
      </c>
      <c r="GA12" s="22" t="s">
        <v>36</v>
      </c>
      <c r="GB12" s="21" t="s">
        <v>37</v>
      </c>
      <c r="GC12" s="23">
        <v>110</v>
      </c>
      <c r="GD12" s="23" t="s">
        <v>293</v>
      </c>
      <c r="GE12" s="31">
        <f>8*25</f>
        <v>200</v>
      </c>
      <c r="GF12" s="31"/>
      <c r="GG12" s="27"/>
      <c r="GH12" s="26" t="s">
        <v>156</v>
      </c>
      <c r="GJ12" s="19">
        <f t="shared" si="8"/>
        <v>6</v>
      </c>
      <c r="GK12" s="20">
        <v>0</v>
      </c>
      <c r="GL12" s="21" t="s">
        <v>41</v>
      </c>
      <c r="GM12" s="22" t="s">
        <v>36</v>
      </c>
      <c r="GN12" s="21" t="s">
        <v>37</v>
      </c>
      <c r="GO12" s="23">
        <v>150</v>
      </c>
      <c r="GP12" s="23" t="s">
        <v>293</v>
      </c>
      <c r="GQ12" s="31">
        <f>6*25</f>
        <v>150</v>
      </c>
      <c r="GR12" s="32">
        <v>17600</v>
      </c>
      <c r="GS12" s="27"/>
      <c r="GT12" s="26" t="s">
        <v>157</v>
      </c>
      <c r="GV12" s="19">
        <f t="shared" si="9"/>
        <v>6</v>
      </c>
      <c r="GW12" s="20">
        <v>0</v>
      </c>
      <c r="GX12" s="21" t="s">
        <v>41</v>
      </c>
      <c r="GY12" s="22" t="s">
        <v>36</v>
      </c>
      <c r="GZ12" s="21" t="s">
        <v>37</v>
      </c>
      <c r="HA12" s="23">
        <v>290</v>
      </c>
      <c r="HB12" s="23" t="s">
        <v>293</v>
      </c>
      <c r="HC12" s="31">
        <f>192*10</f>
        <v>1920</v>
      </c>
      <c r="HD12" s="32">
        <v>750</v>
      </c>
      <c r="HE12" s="27"/>
      <c r="HF12" s="26" t="s">
        <v>158</v>
      </c>
      <c r="HH12" s="19">
        <f>HH11+1</f>
        <v>6</v>
      </c>
      <c r="HI12" s="20">
        <v>0</v>
      </c>
      <c r="HJ12" s="21" t="s">
        <v>35</v>
      </c>
      <c r="HK12" s="22" t="s">
        <v>36</v>
      </c>
      <c r="HL12" s="21" t="s">
        <v>37</v>
      </c>
      <c r="HM12" s="23">
        <v>3000</v>
      </c>
      <c r="HN12" s="23" t="s">
        <v>328</v>
      </c>
      <c r="HO12" s="31">
        <f>288*18</f>
        <v>5184</v>
      </c>
      <c r="HP12" s="32">
        <v>566</v>
      </c>
      <c r="HQ12" s="27"/>
      <c r="HR12" s="26" t="s">
        <v>159</v>
      </c>
      <c r="HT12" s="19">
        <f t="shared" si="10"/>
        <v>6</v>
      </c>
      <c r="HU12" s="20">
        <v>0</v>
      </c>
      <c r="HV12" s="21" t="s">
        <v>41</v>
      </c>
      <c r="HW12" s="22" t="s">
        <v>36</v>
      </c>
      <c r="HX12" s="21" t="s">
        <v>37</v>
      </c>
      <c r="HY12" s="23">
        <v>3000</v>
      </c>
      <c r="HZ12" s="23" t="s">
        <v>293</v>
      </c>
      <c r="IA12" s="31">
        <f>320*20</f>
        <v>6400</v>
      </c>
      <c r="IB12" s="32">
        <v>625</v>
      </c>
      <c r="IC12" s="27"/>
      <c r="ID12" s="26" t="s">
        <v>160</v>
      </c>
      <c r="IF12" s="19">
        <f t="shared" si="16"/>
        <v>6</v>
      </c>
      <c r="IG12" s="20">
        <v>0</v>
      </c>
      <c r="IH12" s="21" t="s">
        <v>41</v>
      </c>
      <c r="II12" s="22" t="s">
        <v>36</v>
      </c>
      <c r="IJ12" s="21" t="s">
        <v>37</v>
      </c>
      <c r="IK12" s="23">
        <v>50</v>
      </c>
      <c r="IL12" s="23" t="s">
        <v>293</v>
      </c>
      <c r="IM12" s="31">
        <f>36*10</f>
        <v>360</v>
      </c>
      <c r="IN12" s="31"/>
      <c r="IO12" s="27"/>
      <c r="IP12" s="26" t="s">
        <v>161</v>
      </c>
      <c r="IR12" s="19">
        <f t="shared" si="11"/>
        <v>6</v>
      </c>
      <c r="IS12" s="20">
        <v>0</v>
      </c>
      <c r="IT12" s="21" t="s">
        <v>41</v>
      </c>
      <c r="IU12" s="22" t="s">
        <v>36</v>
      </c>
      <c r="IV12" s="21" t="s">
        <v>37</v>
      </c>
      <c r="IW12" s="23">
        <v>500</v>
      </c>
      <c r="IX12" s="23" t="s">
        <v>293</v>
      </c>
      <c r="IY12" s="31">
        <f>24*29</f>
        <v>696</v>
      </c>
      <c r="IZ12" s="31"/>
      <c r="JA12" s="27"/>
      <c r="JB12" s="26" t="s">
        <v>162</v>
      </c>
      <c r="JD12" s="19">
        <f t="shared" si="12"/>
        <v>6</v>
      </c>
      <c r="JE12" s="20">
        <v>0</v>
      </c>
      <c r="JF12" s="21" t="s">
        <v>41</v>
      </c>
      <c r="JG12" s="22" t="s">
        <v>36</v>
      </c>
      <c r="JH12" s="21" t="s">
        <v>37</v>
      </c>
      <c r="JI12" s="23">
        <v>250</v>
      </c>
      <c r="JJ12" s="23" t="s">
        <v>293</v>
      </c>
      <c r="JK12" s="24" t="s">
        <v>38</v>
      </c>
      <c r="JL12" s="32">
        <v>350</v>
      </c>
      <c r="JM12" s="27"/>
      <c r="JN12" s="26" t="s">
        <v>163</v>
      </c>
      <c r="JP12" s="19">
        <f t="shared" si="13"/>
        <v>6</v>
      </c>
      <c r="JQ12" s="20">
        <v>0</v>
      </c>
      <c r="JR12" s="21" t="s">
        <v>41</v>
      </c>
      <c r="JS12" s="22" t="s">
        <v>36</v>
      </c>
      <c r="JT12" s="21" t="s">
        <v>37</v>
      </c>
      <c r="JU12" s="23">
        <v>1200</v>
      </c>
      <c r="JV12" s="23" t="s">
        <v>293</v>
      </c>
      <c r="JW12" s="31">
        <f>48*33</f>
        <v>1584</v>
      </c>
      <c r="JX12" s="32">
        <v>1090</v>
      </c>
      <c r="JY12" s="27"/>
      <c r="JZ12" s="26" t="s">
        <v>164</v>
      </c>
      <c r="KB12" s="19">
        <f t="shared" si="14"/>
        <v>6</v>
      </c>
      <c r="KC12" s="20">
        <v>0</v>
      </c>
      <c r="KD12" s="21" t="s">
        <v>41</v>
      </c>
      <c r="KE12" s="22" t="s">
        <v>36</v>
      </c>
      <c r="KF12" s="21" t="s">
        <v>37</v>
      </c>
      <c r="KG12" s="23">
        <v>1500</v>
      </c>
      <c r="KH12" s="23" t="s">
        <v>293</v>
      </c>
      <c r="KI12" s="31">
        <f>40*125</f>
        <v>5000</v>
      </c>
      <c r="KJ12" s="32">
        <v>400</v>
      </c>
      <c r="KK12" s="27"/>
      <c r="KL12" s="26" t="s">
        <v>165</v>
      </c>
    </row>
    <row r="13" spans="1:400" ht="135" customHeight="1">
      <c r="X13" s="19">
        <f t="shared" si="1"/>
        <v>7</v>
      </c>
      <c r="Y13" s="20">
        <v>0</v>
      </c>
      <c r="Z13" s="21" t="s">
        <v>41</v>
      </c>
      <c r="AA13" s="22" t="s">
        <v>36</v>
      </c>
      <c r="AB13" s="21" t="s">
        <v>37</v>
      </c>
      <c r="AC13" s="23">
        <v>2</v>
      </c>
      <c r="AD13" s="23" t="s">
        <v>293</v>
      </c>
      <c r="AE13" s="24" t="s">
        <v>38</v>
      </c>
      <c r="AF13" s="24"/>
      <c r="AG13" s="27"/>
      <c r="AH13" s="26" t="s">
        <v>166</v>
      </c>
      <c r="AV13" s="19">
        <f t="shared" si="2"/>
        <v>7</v>
      </c>
      <c r="AW13" s="20">
        <v>0</v>
      </c>
      <c r="AX13" s="21" t="s">
        <v>41</v>
      </c>
      <c r="AY13" s="22" t="s">
        <v>36</v>
      </c>
      <c r="AZ13" s="21" t="s">
        <v>37</v>
      </c>
      <c r="BA13" s="23">
        <v>2</v>
      </c>
      <c r="BB13" s="23" t="s">
        <v>293</v>
      </c>
      <c r="BC13" s="24" t="s">
        <v>38</v>
      </c>
      <c r="BD13" s="24"/>
      <c r="BE13" s="27"/>
      <c r="BF13" s="29" t="s">
        <v>167</v>
      </c>
      <c r="BH13" s="19">
        <f t="shared" si="3"/>
        <v>7</v>
      </c>
      <c r="BI13" s="20">
        <v>0</v>
      </c>
      <c r="BJ13" s="21" t="s">
        <v>41</v>
      </c>
      <c r="BK13" s="22" t="s">
        <v>36</v>
      </c>
      <c r="BL13" s="21" t="s">
        <v>37</v>
      </c>
      <c r="BM13" s="23">
        <v>20</v>
      </c>
      <c r="BN13" s="23" t="s">
        <v>293</v>
      </c>
      <c r="BO13" s="24" t="s">
        <v>38</v>
      </c>
      <c r="BP13" s="28"/>
      <c r="BQ13" s="27"/>
      <c r="BR13" s="29" t="s">
        <v>73</v>
      </c>
      <c r="BU13" s="35"/>
      <c r="BV13" s="35"/>
      <c r="BW13" s="35"/>
      <c r="BX13" s="35"/>
      <c r="BY13" s="35"/>
      <c r="BZ13" s="35"/>
      <c r="CA13" s="35"/>
      <c r="CB13" s="35"/>
      <c r="CC13" s="35"/>
      <c r="CK13" s="35"/>
      <c r="CL13" s="35"/>
      <c r="CM13" s="35"/>
      <c r="CN13" s="35"/>
      <c r="CW13" s="35"/>
      <c r="CX13" s="35"/>
      <c r="CY13" s="35"/>
      <c r="CZ13" s="35"/>
      <c r="DI13" s="35"/>
      <c r="DJ13" s="35"/>
      <c r="DK13" s="35"/>
      <c r="DL13" s="35"/>
      <c r="DP13" s="19">
        <f t="shared" si="4"/>
        <v>7</v>
      </c>
      <c r="DQ13" s="20">
        <v>0</v>
      </c>
      <c r="DR13" s="21" t="s">
        <v>41</v>
      </c>
      <c r="DS13" s="22" t="s">
        <v>36</v>
      </c>
      <c r="DT13" s="21" t="s">
        <v>37</v>
      </c>
      <c r="DU13" s="23">
        <v>150</v>
      </c>
      <c r="DV13" s="23" t="s">
        <v>293</v>
      </c>
      <c r="DW13" s="31">
        <f>36*22</f>
        <v>792</v>
      </c>
      <c r="DX13" s="31"/>
      <c r="DY13" s="27"/>
      <c r="DZ13" s="26" t="s">
        <v>169</v>
      </c>
      <c r="EB13" s="19">
        <f t="shared" si="5"/>
        <v>7</v>
      </c>
      <c r="EC13" s="20">
        <v>0</v>
      </c>
      <c r="ED13" s="21" t="s">
        <v>41</v>
      </c>
      <c r="EE13" s="22" t="s">
        <v>36</v>
      </c>
      <c r="EF13" s="21" t="s">
        <v>37</v>
      </c>
      <c r="EG13" s="23">
        <v>200</v>
      </c>
      <c r="EH13" s="23" t="s">
        <v>293</v>
      </c>
      <c r="EI13" s="31">
        <f>24*10</f>
        <v>240</v>
      </c>
      <c r="EJ13" s="32"/>
      <c r="EK13" s="27"/>
      <c r="EL13" s="26" t="s">
        <v>170</v>
      </c>
      <c r="EN13" s="19">
        <f t="shared" si="6"/>
        <v>7</v>
      </c>
      <c r="EO13" s="20">
        <v>0</v>
      </c>
      <c r="EP13" s="21" t="s">
        <v>41</v>
      </c>
      <c r="EQ13" s="22" t="s">
        <v>36</v>
      </c>
      <c r="ER13" s="21" t="s">
        <v>37</v>
      </c>
      <c r="ES13" s="23">
        <v>2000</v>
      </c>
      <c r="ET13" s="23" t="s">
        <v>293</v>
      </c>
      <c r="EU13" s="24" t="s">
        <v>38</v>
      </c>
      <c r="EV13" s="24"/>
      <c r="EW13" s="27"/>
      <c r="EX13" s="26" t="s">
        <v>171</v>
      </c>
      <c r="FE13" s="35"/>
      <c r="FF13" s="35"/>
      <c r="FG13" s="35"/>
      <c r="FH13" s="35"/>
      <c r="FL13" s="19">
        <f t="shared" si="15"/>
        <v>7</v>
      </c>
      <c r="FM13" s="20">
        <v>0</v>
      </c>
      <c r="FN13" s="21" t="s">
        <v>41</v>
      </c>
      <c r="FO13" s="22" t="s">
        <v>36</v>
      </c>
      <c r="FP13" s="21" t="s">
        <v>37</v>
      </c>
      <c r="FQ13" s="23">
        <v>50</v>
      </c>
      <c r="FR13" s="23" t="s">
        <v>293</v>
      </c>
      <c r="FS13" s="24" t="s">
        <v>38</v>
      </c>
      <c r="FT13" s="28">
        <v>750</v>
      </c>
      <c r="FU13" s="27"/>
      <c r="FV13" s="26" t="s">
        <v>172</v>
      </c>
      <c r="FX13" s="19">
        <f t="shared" si="7"/>
        <v>7</v>
      </c>
      <c r="FY13" s="20">
        <v>0</v>
      </c>
      <c r="FZ13" s="21" t="s">
        <v>41</v>
      </c>
      <c r="GA13" s="22" t="s">
        <v>36</v>
      </c>
      <c r="GB13" s="21" t="s">
        <v>37</v>
      </c>
      <c r="GC13" s="23">
        <v>110</v>
      </c>
      <c r="GD13" s="23" t="s">
        <v>293</v>
      </c>
      <c r="GE13" s="31">
        <f>8*25</f>
        <v>200</v>
      </c>
      <c r="GF13" s="31"/>
      <c r="GG13" s="27"/>
      <c r="GH13" s="26" t="s">
        <v>173</v>
      </c>
      <c r="GJ13" s="19">
        <f t="shared" si="8"/>
        <v>7</v>
      </c>
      <c r="GK13" s="20">
        <v>0</v>
      </c>
      <c r="GL13" s="21" t="s">
        <v>41</v>
      </c>
      <c r="GM13" s="22" t="s">
        <v>36</v>
      </c>
      <c r="GN13" s="21" t="s">
        <v>37</v>
      </c>
      <c r="GO13" s="23">
        <v>150</v>
      </c>
      <c r="GP13" s="23" t="s">
        <v>293</v>
      </c>
      <c r="GQ13" s="31">
        <f>6*25</f>
        <v>150</v>
      </c>
      <c r="GR13" s="32">
        <v>17600</v>
      </c>
      <c r="GS13" s="27"/>
      <c r="GT13" s="26" t="s">
        <v>174</v>
      </c>
      <c r="GV13" s="19">
        <f t="shared" si="9"/>
        <v>7</v>
      </c>
      <c r="GW13" s="20">
        <v>0</v>
      </c>
      <c r="GX13" s="21" t="s">
        <v>41</v>
      </c>
      <c r="GY13" s="22" t="s">
        <v>36</v>
      </c>
      <c r="GZ13" s="21" t="s">
        <v>37</v>
      </c>
      <c r="HA13" s="23">
        <v>50</v>
      </c>
      <c r="HB13" s="23" t="s">
        <v>293</v>
      </c>
      <c r="HC13" s="31">
        <f>4*5</f>
        <v>20</v>
      </c>
      <c r="HD13" s="32">
        <v>72000</v>
      </c>
      <c r="HE13" s="27"/>
      <c r="HF13" s="26" t="s">
        <v>175</v>
      </c>
      <c r="HT13" s="19">
        <f t="shared" si="10"/>
        <v>7</v>
      </c>
      <c r="HU13" s="20">
        <v>0</v>
      </c>
      <c r="HV13" s="21" t="s">
        <v>41</v>
      </c>
      <c r="HW13" s="22" t="s">
        <v>36</v>
      </c>
      <c r="HX13" s="21" t="s">
        <v>37</v>
      </c>
      <c r="HY13" s="23">
        <v>120</v>
      </c>
      <c r="HZ13" s="23" t="s">
        <v>293</v>
      </c>
      <c r="IA13" s="31">
        <f>48*10</f>
        <v>480</v>
      </c>
      <c r="IB13" s="32">
        <v>8333</v>
      </c>
      <c r="IC13" s="27"/>
      <c r="ID13" s="26" t="s">
        <v>176</v>
      </c>
      <c r="IF13" s="19">
        <f t="shared" si="16"/>
        <v>7</v>
      </c>
      <c r="IG13" s="20">
        <v>0</v>
      </c>
      <c r="IH13" s="21" t="s">
        <v>41</v>
      </c>
      <c r="II13" s="22" t="s">
        <v>36</v>
      </c>
      <c r="IJ13" s="21" t="s">
        <v>37</v>
      </c>
      <c r="IK13" s="23">
        <v>350</v>
      </c>
      <c r="IL13" s="23" t="s">
        <v>293</v>
      </c>
      <c r="IM13" s="31">
        <f>16*30</f>
        <v>480</v>
      </c>
      <c r="IN13" s="31"/>
      <c r="IO13" s="27"/>
      <c r="IP13" s="26" t="s">
        <v>177</v>
      </c>
      <c r="IR13" s="19">
        <f t="shared" si="11"/>
        <v>7</v>
      </c>
      <c r="IS13" s="20">
        <v>0</v>
      </c>
      <c r="IT13" s="21" t="s">
        <v>41</v>
      </c>
      <c r="IU13" s="22" t="s">
        <v>36</v>
      </c>
      <c r="IV13" s="21" t="s">
        <v>37</v>
      </c>
      <c r="IW13" s="23">
        <v>250</v>
      </c>
      <c r="IX13" s="23" t="s">
        <v>293</v>
      </c>
      <c r="IY13" s="31">
        <f>6*39</f>
        <v>234</v>
      </c>
      <c r="IZ13" s="31"/>
      <c r="JA13" s="27"/>
      <c r="JB13" s="26" t="s">
        <v>178</v>
      </c>
      <c r="JD13" s="19">
        <f t="shared" si="12"/>
        <v>7</v>
      </c>
      <c r="JE13" s="20">
        <v>0</v>
      </c>
      <c r="JF13" s="21" t="s">
        <v>35</v>
      </c>
      <c r="JG13" s="22" t="s">
        <v>36</v>
      </c>
      <c r="JH13" s="21" t="s">
        <v>37</v>
      </c>
      <c r="JI13" s="23">
        <v>900</v>
      </c>
      <c r="JJ13" s="23" t="s">
        <v>329</v>
      </c>
      <c r="JK13" s="31">
        <f>24*120</f>
        <v>2880</v>
      </c>
      <c r="JL13" s="28">
        <v>200</v>
      </c>
      <c r="JM13" s="27"/>
      <c r="JN13" s="26" t="s">
        <v>179</v>
      </c>
      <c r="JP13" s="19">
        <f t="shared" si="13"/>
        <v>7</v>
      </c>
      <c r="JQ13" s="20">
        <v>0</v>
      </c>
      <c r="JR13" s="21" t="s">
        <v>41</v>
      </c>
      <c r="JS13" s="22" t="s">
        <v>36</v>
      </c>
      <c r="JT13" s="21" t="s">
        <v>37</v>
      </c>
      <c r="JU13" s="23">
        <v>50</v>
      </c>
      <c r="JV13" s="23" t="s">
        <v>293</v>
      </c>
      <c r="JW13" s="31">
        <f>16*33</f>
        <v>528</v>
      </c>
      <c r="JX13" s="32">
        <v>3270</v>
      </c>
      <c r="JY13" s="27"/>
      <c r="JZ13" s="26" t="s">
        <v>180</v>
      </c>
      <c r="KB13" s="19">
        <f t="shared" si="14"/>
        <v>7</v>
      </c>
      <c r="KC13" s="20">
        <v>0</v>
      </c>
      <c r="KD13" s="21" t="s">
        <v>41</v>
      </c>
      <c r="KE13" s="22" t="s">
        <v>36</v>
      </c>
      <c r="KF13" s="21" t="s">
        <v>37</v>
      </c>
      <c r="KG13" s="23">
        <v>20</v>
      </c>
      <c r="KH13" s="23" t="s">
        <v>293</v>
      </c>
      <c r="KI13" s="24" t="s">
        <v>38</v>
      </c>
      <c r="KJ13" s="28"/>
      <c r="KK13" s="27"/>
      <c r="KL13" s="26" t="s">
        <v>181</v>
      </c>
    </row>
    <row r="14" spans="1:400" ht="135" customHeight="1">
      <c r="X14" s="19">
        <f t="shared" si="1"/>
        <v>8</v>
      </c>
      <c r="Y14" s="20">
        <v>0</v>
      </c>
      <c r="Z14" s="21" t="s">
        <v>41</v>
      </c>
      <c r="AA14" s="22" t="s">
        <v>36</v>
      </c>
      <c r="AB14" s="21" t="s">
        <v>37</v>
      </c>
      <c r="AC14" s="23">
        <v>50</v>
      </c>
      <c r="AD14" s="23" t="s">
        <v>293</v>
      </c>
      <c r="AE14" s="31">
        <f>1*198</f>
        <v>198</v>
      </c>
      <c r="AF14" s="31"/>
      <c r="AG14" s="27"/>
      <c r="AH14" s="26" t="s">
        <v>182</v>
      </c>
      <c r="AO14" s="3"/>
      <c r="AP14" s="3"/>
      <c r="AQ14" s="3"/>
      <c r="AR14" s="3"/>
      <c r="AV14" s="19">
        <f t="shared" si="2"/>
        <v>8</v>
      </c>
      <c r="AW14" s="20">
        <v>0</v>
      </c>
      <c r="AX14" s="21" t="s">
        <v>41</v>
      </c>
      <c r="AY14" s="22" t="s">
        <v>36</v>
      </c>
      <c r="AZ14" s="21" t="s">
        <v>37</v>
      </c>
      <c r="BA14" s="23">
        <v>25</v>
      </c>
      <c r="BB14" s="23" t="s">
        <v>293</v>
      </c>
      <c r="BC14" s="31">
        <f>1*198</f>
        <v>198</v>
      </c>
      <c r="BD14" s="31"/>
      <c r="BE14" s="27"/>
      <c r="BF14" s="29" t="s">
        <v>183</v>
      </c>
      <c r="BH14" s="19">
        <f t="shared" si="3"/>
        <v>8</v>
      </c>
      <c r="BI14" s="20">
        <v>0</v>
      </c>
      <c r="BJ14" s="21" t="s">
        <v>41</v>
      </c>
      <c r="BK14" s="22" t="s">
        <v>36</v>
      </c>
      <c r="BL14" s="21" t="s">
        <v>37</v>
      </c>
      <c r="BM14" s="23">
        <v>450</v>
      </c>
      <c r="BN14" s="23" t="s">
        <v>293</v>
      </c>
      <c r="BO14" s="31">
        <f>24*180</f>
        <v>4320</v>
      </c>
      <c r="BP14" s="32"/>
      <c r="BQ14" s="27"/>
      <c r="BR14" s="29" t="s">
        <v>96</v>
      </c>
      <c r="BU14" s="35"/>
      <c r="BV14" s="35"/>
      <c r="BW14" s="35"/>
      <c r="BX14" s="35"/>
      <c r="BY14" s="35"/>
      <c r="BZ14" s="35"/>
      <c r="CA14" s="35"/>
      <c r="CB14" s="35"/>
      <c r="CC14" s="35"/>
      <c r="CK14" s="35"/>
      <c r="CL14" s="35"/>
      <c r="CM14" s="35"/>
      <c r="CN14" s="35"/>
      <c r="CW14" s="35"/>
      <c r="CX14" s="35"/>
      <c r="CY14" s="35"/>
      <c r="CZ14" s="35"/>
      <c r="DI14" s="35"/>
      <c r="DJ14" s="35"/>
      <c r="DK14" s="35"/>
      <c r="DL14" s="35"/>
      <c r="DP14" s="19">
        <f t="shared" si="4"/>
        <v>8</v>
      </c>
      <c r="DQ14" s="20">
        <v>0</v>
      </c>
      <c r="DR14" s="21" t="s">
        <v>41</v>
      </c>
      <c r="DS14" s="22" t="s">
        <v>36</v>
      </c>
      <c r="DT14" s="21" t="s">
        <v>37</v>
      </c>
      <c r="DU14" s="23">
        <v>850</v>
      </c>
      <c r="DV14" s="23" t="s">
        <v>293</v>
      </c>
      <c r="DW14" s="31">
        <f>216*22</f>
        <v>4752</v>
      </c>
      <c r="DX14" s="31"/>
      <c r="DY14" s="27"/>
      <c r="DZ14" s="26" t="s">
        <v>185</v>
      </c>
      <c r="EB14" s="19">
        <f t="shared" si="5"/>
        <v>8</v>
      </c>
      <c r="EC14" s="20">
        <v>0</v>
      </c>
      <c r="ED14" s="21" t="s">
        <v>41</v>
      </c>
      <c r="EE14" s="22" t="s">
        <v>36</v>
      </c>
      <c r="EF14" s="21" t="s">
        <v>37</v>
      </c>
      <c r="EG14" s="23">
        <v>350</v>
      </c>
      <c r="EH14" s="23" t="s">
        <v>293</v>
      </c>
      <c r="EI14" s="24" t="s">
        <v>38</v>
      </c>
      <c r="EJ14" s="28">
        <v>1250</v>
      </c>
      <c r="EK14" s="27"/>
      <c r="EL14" s="26" t="s">
        <v>186</v>
      </c>
      <c r="EN14" s="19">
        <f t="shared" si="6"/>
        <v>8</v>
      </c>
      <c r="EO14" s="20">
        <v>0</v>
      </c>
      <c r="EP14" s="21" t="s">
        <v>41</v>
      </c>
      <c r="EQ14" s="22" t="s">
        <v>36</v>
      </c>
      <c r="ER14" s="21" t="s">
        <v>37</v>
      </c>
      <c r="ES14" s="23">
        <v>65</v>
      </c>
      <c r="ET14" s="23" t="s">
        <v>293</v>
      </c>
      <c r="EU14" s="31">
        <f>24*22</f>
        <v>528</v>
      </c>
      <c r="EV14" s="31"/>
      <c r="EW14" s="27"/>
      <c r="EX14" s="26" t="s">
        <v>187</v>
      </c>
      <c r="FE14" s="35"/>
      <c r="FF14" s="35"/>
      <c r="FG14" s="35"/>
      <c r="FH14" s="35"/>
      <c r="FL14" s="19">
        <f t="shared" si="15"/>
        <v>8</v>
      </c>
      <c r="FM14" s="20">
        <v>0</v>
      </c>
      <c r="FN14" s="21" t="s">
        <v>41</v>
      </c>
      <c r="FO14" s="22" t="s">
        <v>36</v>
      </c>
      <c r="FP14" s="21" t="s">
        <v>37</v>
      </c>
      <c r="FQ14" s="23">
        <v>75</v>
      </c>
      <c r="FR14" s="23" t="s">
        <v>293</v>
      </c>
      <c r="FS14" s="31">
        <f>150*6</f>
        <v>900</v>
      </c>
      <c r="FT14" s="32">
        <v>2304</v>
      </c>
      <c r="FU14" s="27"/>
      <c r="FV14" s="26" t="s">
        <v>188</v>
      </c>
      <c r="FX14" s="19">
        <f t="shared" si="7"/>
        <v>8</v>
      </c>
      <c r="FY14" s="20">
        <v>0</v>
      </c>
      <c r="FZ14" s="21" t="s">
        <v>41</v>
      </c>
      <c r="GA14" s="22" t="s">
        <v>36</v>
      </c>
      <c r="GB14" s="21" t="s">
        <v>37</v>
      </c>
      <c r="GC14" s="23">
        <v>80</v>
      </c>
      <c r="GD14" s="23" t="s">
        <v>293</v>
      </c>
      <c r="GE14" s="24" t="s">
        <v>38</v>
      </c>
      <c r="GF14" s="24"/>
      <c r="GG14" s="27"/>
      <c r="GH14" s="26" t="s">
        <v>189</v>
      </c>
      <c r="GK14" s="35"/>
      <c r="GL14" s="35"/>
      <c r="GM14" s="35"/>
      <c r="GN14" s="35"/>
      <c r="GO14" s="3"/>
      <c r="GP14" s="3"/>
      <c r="GQ14" s="3"/>
      <c r="GR14" s="38"/>
      <c r="GT14" s="39"/>
      <c r="GV14" s="19">
        <f t="shared" si="9"/>
        <v>8</v>
      </c>
      <c r="GW14" s="20">
        <v>0</v>
      </c>
      <c r="GX14" s="21" t="s">
        <v>41</v>
      </c>
      <c r="GY14" s="22" t="s">
        <v>36</v>
      </c>
      <c r="GZ14" s="21" t="s">
        <v>37</v>
      </c>
      <c r="HA14" s="23">
        <v>150</v>
      </c>
      <c r="HB14" s="23" t="s">
        <v>293</v>
      </c>
      <c r="HC14" s="24" t="s">
        <v>38</v>
      </c>
      <c r="HD14" s="28">
        <v>750</v>
      </c>
      <c r="HE14" s="27"/>
      <c r="HF14" s="26" t="s">
        <v>190</v>
      </c>
      <c r="HT14" s="19">
        <f t="shared" si="10"/>
        <v>8</v>
      </c>
      <c r="HU14" s="20">
        <v>0</v>
      </c>
      <c r="HV14" s="21" t="s">
        <v>41</v>
      </c>
      <c r="HW14" s="22" t="s">
        <v>36</v>
      </c>
      <c r="HX14" s="21" t="s">
        <v>37</v>
      </c>
      <c r="HY14" s="23">
        <v>500</v>
      </c>
      <c r="HZ14" s="23" t="s">
        <v>293</v>
      </c>
      <c r="IA14" s="31">
        <f>320*10</f>
        <v>3200</v>
      </c>
      <c r="IB14" s="32">
        <v>1250</v>
      </c>
      <c r="IC14" s="27"/>
      <c r="ID14" s="26" t="s">
        <v>191</v>
      </c>
      <c r="IF14" s="19">
        <f t="shared" si="16"/>
        <v>8</v>
      </c>
      <c r="IG14" s="20">
        <v>0</v>
      </c>
      <c r="IH14" s="21" t="s">
        <v>41</v>
      </c>
      <c r="II14" s="22" t="s">
        <v>36</v>
      </c>
      <c r="IJ14" s="21" t="s">
        <v>37</v>
      </c>
      <c r="IK14" s="23">
        <v>50</v>
      </c>
      <c r="IL14" s="23" t="s">
        <v>293</v>
      </c>
      <c r="IM14" s="31">
        <f>12*20</f>
        <v>240</v>
      </c>
      <c r="IN14" s="31"/>
      <c r="IO14" s="27"/>
      <c r="IP14" s="26" t="s">
        <v>192</v>
      </c>
      <c r="IR14" s="19">
        <f t="shared" si="11"/>
        <v>8</v>
      </c>
      <c r="IS14" s="20">
        <v>0</v>
      </c>
      <c r="IT14" s="21" t="s">
        <v>41</v>
      </c>
      <c r="IU14" s="22" t="s">
        <v>36</v>
      </c>
      <c r="IV14" s="21" t="s">
        <v>37</v>
      </c>
      <c r="IW14" s="23">
        <v>350</v>
      </c>
      <c r="IX14" s="23" t="s">
        <v>293</v>
      </c>
      <c r="IY14" s="31">
        <f>18*39</f>
        <v>702</v>
      </c>
      <c r="IZ14" s="31"/>
      <c r="JA14" s="27"/>
      <c r="JB14" s="26" t="s">
        <v>193</v>
      </c>
      <c r="JD14" s="19">
        <f t="shared" si="12"/>
        <v>8</v>
      </c>
      <c r="JE14" s="20">
        <v>0</v>
      </c>
      <c r="JF14" s="21" t="s">
        <v>35</v>
      </c>
      <c r="JG14" s="22" t="s">
        <v>36</v>
      </c>
      <c r="JH14" s="21" t="s">
        <v>37</v>
      </c>
      <c r="JI14" s="23">
        <v>5000</v>
      </c>
      <c r="JJ14" s="23" t="s">
        <v>329</v>
      </c>
      <c r="JK14" s="31">
        <f>86*120</f>
        <v>10320</v>
      </c>
      <c r="JL14" s="32">
        <v>150</v>
      </c>
      <c r="JM14" s="27"/>
      <c r="JN14" s="26" t="s">
        <v>194</v>
      </c>
      <c r="JP14" s="19">
        <f t="shared" si="13"/>
        <v>8</v>
      </c>
      <c r="JQ14" s="20">
        <v>0</v>
      </c>
      <c r="JR14" s="21" t="s">
        <v>41</v>
      </c>
      <c r="JS14" s="22" t="s">
        <v>36</v>
      </c>
      <c r="JT14" s="21" t="s">
        <v>37</v>
      </c>
      <c r="JU14" s="23">
        <v>3000</v>
      </c>
      <c r="JV14" s="23" t="s">
        <v>293</v>
      </c>
      <c r="JW14" s="31">
        <f>192*33</f>
        <v>6336</v>
      </c>
      <c r="JX14" s="32">
        <v>263</v>
      </c>
      <c r="JY14" s="27"/>
      <c r="JZ14" s="26" t="s">
        <v>195</v>
      </c>
      <c r="KB14" s="19">
        <f t="shared" si="14"/>
        <v>8</v>
      </c>
      <c r="KC14" s="20">
        <v>0</v>
      </c>
      <c r="KD14" s="21" t="s">
        <v>41</v>
      </c>
      <c r="KE14" s="22" t="s">
        <v>36</v>
      </c>
      <c r="KF14" s="21" t="s">
        <v>37</v>
      </c>
      <c r="KG14" s="23">
        <v>350</v>
      </c>
      <c r="KH14" s="23" t="s">
        <v>293</v>
      </c>
      <c r="KI14" s="31">
        <f>96*10</f>
        <v>960</v>
      </c>
      <c r="KJ14" s="32">
        <v>1250</v>
      </c>
      <c r="KK14" s="27"/>
      <c r="KL14" s="26" t="s">
        <v>196</v>
      </c>
    </row>
    <row r="15" spans="1:400" ht="135" customHeight="1">
      <c r="X15" s="19">
        <f t="shared" si="1"/>
        <v>9</v>
      </c>
      <c r="Y15" s="20">
        <v>0</v>
      </c>
      <c r="Z15" s="21" t="s">
        <v>41</v>
      </c>
      <c r="AA15" s="22" t="s">
        <v>36</v>
      </c>
      <c r="AB15" s="21" t="s">
        <v>37</v>
      </c>
      <c r="AC15" s="23">
        <v>20</v>
      </c>
      <c r="AD15" s="23" t="s">
        <v>293</v>
      </c>
      <c r="AE15" s="31">
        <f>18*7</f>
        <v>126</v>
      </c>
      <c r="AF15" s="31"/>
      <c r="AG15" s="27"/>
      <c r="AH15" s="26" t="s">
        <v>197</v>
      </c>
      <c r="AO15" s="3"/>
      <c r="AP15" s="3"/>
      <c r="AQ15" s="3"/>
      <c r="AR15" s="3"/>
      <c r="AV15" s="19">
        <f t="shared" si="2"/>
        <v>9</v>
      </c>
      <c r="AW15" s="20">
        <v>0</v>
      </c>
      <c r="AX15" s="21" t="s">
        <v>41</v>
      </c>
      <c r="AY15" s="22" t="s">
        <v>36</v>
      </c>
      <c r="AZ15" s="21" t="s">
        <v>37</v>
      </c>
      <c r="BA15" s="23">
        <v>2</v>
      </c>
      <c r="BB15" s="23" t="s">
        <v>293</v>
      </c>
      <c r="BC15" s="24" t="s">
        <v>38</v>
      </c>
      <c r="BD15" s="24"/>
      <c r="BE15" s="27"/>
      <c r="BF15" s="29" t="s">
        <v>198</v>
      </c>
      <c r="BH15" s="19">
        <f t="shared" si="3"/>
        <v>9</v>
      </c>
      <c r="BI15" s="20">
        <v>0</v>
      </c>
      <c r="BJ15" s="21" t="s">
        <v>41</v>
      </c>
      <c r="BK15" s="22" t="s">
        <v>36</v>
      </c>
      <c r="BL15" s="21" t="s">
        <v>37</v>
      </c>
      <c r="BM15" s="23">
        <v>200</v>
      </c>
      <c r="BN15" s="23" t="s">
        <v>293</v>
      </c>
      <c r="BO15" s="24" t="s">
        <v>38</v>
      </c>
      <c r="BP15" s="28">
        <v>6500</v>
      </c>
      <c r="BQ15" s="27"/>
      <c r="BR15" s="29" t="s">
        <v>115</v>
      </c>
      <c r="BU15" s="35"/>
      <c r="BV15" s="35"/>
      <c r="BW15" s="35"/>
      <c r="BX15" s="35"/>
      <c r="BY15" s="35"/>
      <c r="BZ15" s="35"/>
      <c r="CA15" s="35"/>
      <c r="CB15" s="35"/>
      <c r="CC15" s="35"/>
      <c r="CK15" s="35"/>
      <c r="CL15" s="35"/>
      <c r="CM15" s="35"/>
      <c r="CN15" s="35"/>
      <c r="CW15" s="35"/>
      <c r="CX15" s="35"/>
      <c r="CY15" s="35"/>
      <c r="CZ15" s="35"/>
      <c r="DI15" s="35"/>
      <c r="DJ15" s="35"/>
      <c r="DK15" s="35"/>
      <c r="DL15" s="35"/>
      <c r="DP15" s="19">
        <f t="shared" si="4"/>
        <v>9</v>
      </c>
      <c r="DQ15" s="20">
        <v>0</v>
      </c>
      <c r="DR15" s="21" t="s">
        <v>41</v>
      </c>
      <c r="DS15" s="22" t="s">
        <v>36</v>
      </c>
      <c r="DT15" s="21" t="s">
        <v>37</v>
      </c>
      <c r="DU15" s="23">
        <v>75</v>
      </c>
      <c r="DV15" s="23" t="s">
        <v>293</v>
      </c>
      <c r="DW15" s="31">
        <f>24*10</f>
        <v>240</v>
      </c>
      <c r="DX15" s="31"/>
      <c r="DY15" s="27"/>
      <c r="DZ15" s="26" t="s">
        <v>200</v>
      </c>
      <c r="EB15" s="19">
        <f t="shared" si="5"/>
        <v>9</v>
      </c>
      <c r="EC15" s="20">
        <v>0</v>
      </c>
      <c r="ED15" s="21" t="s">
        <v>41</v>
      </c>
      <c r="EE15" s="22" t="s">
        <v>36</v>
      </c>
      <c r="EF15" s="21" t="s">
        <v>37</v>
      </c>
      <c r="EG15" s="23">
        <v>120</v>
      </c>
      <c r="EH15" s="23" t="s">
        <v>293</v>
      </c>
      <c r="EI15" s="31">
        <f>18*10</f>
        <v>180</v>
      </c>
      <c r="EJ15" s="32"/>
      <c r="EK15" s="27"/>
      <c r="EL15" s="26" t="s">
        <v>201</v>
      </c>
      <c r="EN15" s="19">
        <f t="shared" si="6"/>
        <v>9</v>
      </c>
      <c r="EO15" s="20">
        <v>0</v>
      </c>
      <c r="EP15" s="21" t="s">
        <v>41</v>
      </c>
      <c r="EQ15" s="22" t="s">
        <v>36</v>
      </c>
      <c r="ER15" s="21" t="s">
        <v>37</v>
      </c>
      <c r="ES15" s="23">
        <v>850</v>
      </c>
      <c r="ET15" s="23" t="s">
        <v>293</v>
      </c>
      <c r="EU15" s="31">
        <f>96*22</f>
        <v>2112</v>
      </c>
      <c r="EV15" s="31"/>
      <c r="EW15" s="27"/>
      <c r="EX15" s="26" t="s">
        <v>202</v>
      </c>
      <c r="FE15" s="35"/>
      <c r="FF15" s="35"/>
      <c r="FG15" s="35"/>
      <c r="FH15" s="35"/>
      <c r="FL15" s="19">
        <f t="shared" si="15"/>
        <v>9</v>
      </c>
      <c r="FM15" s="20">
        <v>0</v>
      </c>
      <c r="FN15" s="21" t="s">
        <v>41</v>
      </c>
      <c r="FO15" s="22" t="s">
        <v>36</v>
      </c>
      <c r="FP15" s="21" t="s">
        <v>37</v>
      </c>
      <c r="FQ15" s="23">
        <v>500</v>
      </c>
      <c r="FR15" s="23" t="s">
        <v>293</v>
      </c>
      <c r="FS15" s="31">
        <f>24*150</f>
        <v>3600</v>
      </c>
      <c r="FT15" s="32">
        <v>576</v>
      </c>
      <c r="FU15" s="27"/>
      <c r="FV15" s="26" t="s">
        <v>203</v>
      </c>
      <c r="FX15" s="19">
        <f t="shared" si="7"/>
        <v>9</v>
      </c>
      <c r="FY15" s="20">
        <v>0</v>
      </c>
      <c r="FZ15" s="21" t="s">
        <v>41</v>
      </c>
      <c r="GA15" s="22" t="s">
        <v>36</v>
      </c>
      <c r="GB15" s="21" t="s">
        <v>37</v>
      </c>
      <c r="GC15" s="23">
        <v>300</v>
      </c>
      <c r="GD15" s="23" t="s">
        <v>293</v>
      </c>
      <c r="GE15" s="24" t="s">
        <v>38</v>
      </c>
      <c r="GF15" s="24"/>
      <c r="GG15" s="27"/>
      <c r="GH15" s="26" t="s">
        <v>204</v>
      </c>
      <c r="GO15" s="3"/>
      <c r="GP15" s="3"/>
      <c r="GQ15" s="3"/>
      <c r="GR15" s="38"/>
      <c r="GT15" s="39"/>
      <c r="GV15" s="19">
        <f t="shared" si="9"/>
        <v>9</v>
      </c>
      <c r="GW15" s="20">
        <v>0</v>
      </c>
      <c r="GX15" s="21" t="s">
        <v>41</v>
      </c>
      <c r="GY15" s="22" t="s">
        <v>36</v>
      </c>
      <c r="GZ15" s="21" t="s">
        <v>37</v>
      </c>
      <c r="HA15" s="23">
        <v>250</v>
      </c>
      <c r="HB15" s="23" t="s">
        <v>293</v>
      </c>
      <c r="HC15" s="31">
        <f>15*36</f>
        <v>540</v>
      </c>
      <c r="HD15" s="32">
        <v>5330</v>
      </c>
      <c r="HE15" s="27"/>
      <c r="HF15" s="26" t="s">
        <v>205</v>
      </c>
      <c r="HT15" s="19">
        <f t="shared" si="10"/>
        <v>9</v>
      </c>
      <c r="HU15" s="20">
        <v>0</v>
      </c>
      <c r="HV15" s="21" t="s">
        <v>41</v>
      </c>
      <c r="HW15" s="22" t="s">
        <v>36</v>
      </c>
      <c r="HX15" s="21" t="s">
        <v>37</v>
      </c>
      <c r="HY15" s="23">
        <v>1375</v>
      </c>
      <c r="HZ15" s="23" t="s">
        <v>293</v>
      </c>
      <c r="IA15" s="31">
        <f>640*10</f>
        <v>6400</v>
      </c>
      <c r="IB15" s="32">
        <v>625</v>
      </c>
      <c r="IC15" s="27"/>
      <c r="ID15" s="26" t="s">
        <v>206</v>
      </c>
      <c r="IF15" s="19">
        <f t="shared" si="16"/>
        <v>9</v>
      </c>
      <c r="IG15" s="20">
        <v>0</v>
      </c>
      <c r="IH15" s="21" t="s">
        <v>41</v>
      </c>
      <c r="II15" s="22" t="s">
        <v>36</v>
      </c>
      <c r="IJ15" s="21" t="s">
        <v>37</v>
      </c>
      <c r="IK15" s="23">
        <v>220</v>
      </c>
      <c r="IL15" s="23" t="s">
        <v>293</v>
      </c>
      <c r="IM15" s="31">
        <f>36*15</f>
        <v>540</v>
      </c>
      <c r="IN15" s="31"/>
      <c r="IO15" s="27"/>
      <c r="IP15" s="26" t="s">
        <v>207</v>
      </c>
      <c r="IW15" s="3"/>
      <c r="IX15" s="3"/>
      <c r="IY15" s="3"/>
      <c r="IZ15" s="3"/>
      <c r="JD15" s="19">
        <f>JD30+1</f>
        <v>17</v>
      </c>
      <c r="JE15" s="20">
        <v>0</v>
      </c>
      <c r="JF15" s="21" t="s">
        <v>41</v>
      </c>
      <c r="JG15" s="22" t="s">
        <v>36</v>
      </c>
      <c r="JH15" s="21" t="s">
        <v>37</v>
      </c>
      <c r="JI15" s="23">
        <v>1750</v>
      </c>
      <c r="JJ15" s="23" t="s">
        <v>293</v>
      </c>
      <c r="JK15" s="31">
        <f>48*24</f>
        <v>1152</v>
      </c>
      <c r="JL15" s="32">
        <v>500</v>
      </c>
      <c r="JM15" s="27"/>
      <c r="JN15" s="26" t="s">
        <v>208</v>
      </c>
      <c r="JP15" s="19">
        <f t="shared" si="13"/>
        <v>9</v>
      </c>
      <c r="JQ15" s="20">
        <v>0</v>
      </c>
      <c r="JR15" s="21" t="s">
        <v>35</v>
      </c>
      <c r="JS15" s="22" t="s">
        <v>36</v>
      </c>
      <c r="JT15" s="21" t="s">
        <v>37</v>
      </c>
      <c r="JU15" s="23">
        <v>250</v>
      </c>
      <c r="JV15" s="23" t="s">
        <v>329</v>
      </c>
      <c r="JW15" s="31">
        <f>24*20</f>
        <v>480</v>
      </c>
      <c r="JX15" s="32">
        <f>'[1]PR Calculations'!$B$16/Topps!JW15</f>
        <v>3465.2</v>
      </c>
      <c r="JY15" s="27"/>
      <c r="JZ15" s="26" t="s">
        <v>209</v>
      </c>
      <c r="KB15" s="19">
        <f t="shared" si="14"/>
        <v>9</v>
      </c>
      <c r="KC15" s="20">
        <v>0</v>
      </c>
      <c r="KD15" s="21" t="s">
        <v>41</v>
      </c>
      <c r="KE15" s="22" t="s">
        <v>36</v>
      </c>
      <c r="KF15" s="21" t="s">
        <v>37</v>
      </c>
      <c r="KG15" s="23">
        <v>600</v>
      </c>
      <c r="KH15" s="23" t="s">
        <v>293</v>
      </c>
      <c r="KI15" s="31">
        <f>192*10</f>
        <v>1920</v>
      </c>
      <c r="KJ15" s="32">
        <v>625</v>
      </c>
      <c r="KK15" s="27"/>
      <c r="KL15" s="26" t="s">
        <v>210</v>
      </c>
    </row>
    <row r="16" spans="1:400" ht="135" customHeight="1">
      <c r="F16" s="3"/>
      <c r="G16" s="3"/>
      <c r="H16" s="3"/>
      <c r="X16" s="19">
        <f t="shared" si="1"/>
        <v>10</v>
      </c>
      <c r="Y16" s="20">
        <v>0</v>
      </c>
      <c r="Z16" s="21" t="s">
        <v>41</v>
      </c>
      <c r="AA16" s="22" t="s">
        <v>36</v>
      </c>
      <c r="AB16" s="21" t="s">
        <v>37</v>
      </c>
      <c r="AC16" s="23">
        <v>150</v>
      </c>
      <c r="AD16" s="23" t="s">
        <v>293</v>
      </c>
      <c r="AE16" s="24" t="s">
        <v>38</v>
      </c>
      <c r="AF16" s="24"/>
      <c r="AG16" s="27"/>
      <c r="AH16" s="26" t="s">
        <v>211</v>
      </c>
      <c r="AO16" s="3"/>
      <c r="AP16" s="3"/>
      <c r="AQ16" s="3"/>
      <c r="AR16" s="3"/>
      <c r="AV16" s="19">
        <f t="shared" si="2"/>
        <v>10</v>
      </c>
      <c r="AW16" s="20">
        <v>0</v>
      </c>
      <c r="AX16" s="21" t="s">
        <v>41</v>
      </c>
      <c r="AY16" s="22" t="s">
        <v>36</v>
      </c>
      <c r="AZ16" s="21" t="s">
        <v>37</v>
      </c>
      <c r="BA16" s="23">
        <v>25</v>
      </c>
      <c r="BB16" s="23" t="s">
        <v>293</v>
      </c>
      <c r="BC16" s="31">
        <f>1*198</f>
        <v>198</v>
      </c>
      <c r="BD16" s="31"/>
      <c r="BE16" s="27"/>
      <c r="BF16" s="29" t="s">
        <v>212</v>
      </c>
      <c r="BH16" s="19">
        <f t="shared" si="3"/>
        <v>10</v>
      </c>
      <c r="BI16" s="20">
        <v>0</v>
      </c>
      <c r="BJ16" s="21" t="s">
        <v>41</v>
      </c>
      <c r="BK16" s="22" t="s">
        <v>36</v>
      </c>
      <c r="BL16" s="21" t="s">
        <v>37</v>
      </c>
      <c r="BM16" s="23">
        <v>10</v>
      </c>
      <c r="BN16" s="23" t="s">
        <v>293</v>
      </c>
      <c r="BO16" s="24" t="s">
        <v>38</v>
      </c>
      <c r="BP16" s="28"/>
      <c r="BQ16" s="27"/>
      <c r="BR16" s="29" t="s">
        <v>199</v>
      </c>
      <c r="BU16" s="35"/>
      <c r="BV16" s="35"/>
      <c r="BW16" s="35"/>
      <c r="BX16" s="35"/>
      <c r="BY16" s="35"/>
      <c r="BZ16" s="35"/>
      <c r="CA16" s="35"/>
      <c r="CB16" s="35"/>
      <c r="CC16" s="35"/>
      <c r="CK16" s="35"/>
      <c r="CL16" s="35"/>
      <c r="CM16" s="35"/>
      <c r="CN16" s="35"/>
      <c r="CW16" s="35"/>
      <c r="CX16" s="35"/>
      <c r="CY16" s="35"/>
      <c r="CZ16" s="35"/>
      <c r="DI16" s="35"/>
      <c r="DJ16" s="35"/>
      <c r="DK16" s="35"/>
      <c r="DL16" s="35"/>
      <c r="DP16" s="19">
        <f t="shared" si="4"/>
        <v>10</v>
      </c>
      <c r="DQ16" s="20">
        <v>0</v>
      </c>
      <c r="DR16" s="21" t="s">
        <v>41</v>
      </c>
      <c r="DS16" s="22" t="s">
        <v>36</v>
      </c>
      <c r="DT16" s="21" t="s">
        <v>37</v>
      </c>
      <c r="DU16" s="23">
        <v>75</v>
      </c>
      <c r="DV16" s="23" t="s">
        <v>293</v>
      </c>
      <c r="DW16" s="31">
        <f>8*10</f>
        <v>80</v>
      </c>
      <c r="DX16" s="31"/>
      <c r="DY16" s="27"/>
      <c r="DZ16" s="26" t="s">
        <v>214</v>
      </c>
      <c r="EB16" s="19">
        <f t="shared" si="5"/>
        <v>10</v>
      </c>
      <c r="EC16" s="20">
        <v>0</v>
      </c>
      <c r="ED16" s="21" t="s">
        <v>41</v>
      </c>
      <c r="EE16" s="22" t="s">
        <v>36</v>
      </c>
      <c r="EF16" s="21" t="s">
        <v>37</v>
      </c>
      <c r="EG16" s="23">
        <v>220</v>
      </c>
      <c r="EH16" s="23" t="s">
        <v>293</v>
      </c>
      <c r="EI16" s="24" t="s">
        <v>38</v>
      </c>
      <c r="EJ16" s="28">
        <v>1250</v>
      </c>
      <c r="EK16" s="27"/>
      <c r="EL16" s="26" t="s">
        <v>215</v>
      </c>
      <c r="EO16" s="35"/>
      <c r="EP16" s="35"/>
      <c r="EQ16" s="35"/>
      <c r="ER16" s="35"/>
      <c r="ES16" s="3"/>
      <c r="ET16" s="3"/>
      <c r="EU16" s="3"/>
      <c r="EV16" s="3"/>
      <c r="EX16" s="39"/>
      <c r="FE16" s="35"/>
      <c r="FF16" s="35"/>
      <c r="FG16" s="35"/>
      <c r="FH16" s="35"/>
      <c r="FL16" s="19">
        <f t="shared" si="15"/>
        <v>10</v>
      </c>
      <c r="FM16" s="20">
        <v>0</v>
      </c>
      <c r="FN16" s="21" t="s">
        <v>41</v>
      </c>
      <c r="FO16" s="22" t="s">
        <v>36</v>
      </c>
      <c r="FP16" s="21" t="s">
        <v>37</v>
      </c>
      <c r="FQ16" s="23">
        <v>3500</v>
      </c>
      <c r="FR16" s="23" t="s">
        <v>293</v>
      </c>
      <c r="FS16" s="31">
        <f>96*150</f>
        <v>14400</v>
      </c>
      <c r="FT16" s="32">
        <v>120</v>
      </c>
      <c r="FU16" s="27"/>
      <c r="FV16" s="26" t="s">
        <v>216</v>
      </c>
      <c r="FX16" s="19">
        <f t="shared" si="7"/>
        <v>10</v>
      </c>
      <c r="FY16" s="20">
        <v>0</v>
      </c>
      <c r="FZ16" s="21" t="s">
        <v>41</v>
      </c>
      <c r="GA16" s="22" t="s">
        <v>36</v>
      </c>
      <c r="GB16" s="21" t="s">
        <v>37</v>
      </c>
      <c r="GC16" s="23">
        <v>75</v>
      </c>
      <c r="GD16" s="23" t="s">
        <v>293</v>
      </c>
      <c r="GE16" s="24" t="s">
        <v>38</v>
      </c>
      <c r="GF16" s="24"/>
      <c r="GG16" s="27"/>
      <c r="GH16" s="26" t="s">
        <v>217</v>
      </c>
      <c r="GO16" s="3"/>
      <c r="GP16" s="3"/>
      <c r="GQ16" s="3"/>
      <c r="GR16" s="38"/>
      <c r="GT16" s="39"/>
      <c r="GV16" s="19">
        <f t="shared" si="9"/>
        <v>10</v>
      </c>
      <c r="GW16" s="20">
        <v>0</v>
      </c>
      <c r="GX16" s="21" t="s">
        <v>41</v>
      </c>
      <c r="GY16" s="22" t="s">
        <v>36</v>
      </c>
      <c r="GZ16" s="21" t="s">
        <v>37</v>
      </c>
      <c r="HA16" s="23">
        <v>350</v>
      </c>
      <c r="HB16" s="23" t="s">
        <v>293</v>
      </c>
      <c r="HC16" s="24" t="s">
        <v>38</v>
      </c>
      <c r="HD16" s="28">
        <v>750</v>
      </c>
      <c r="HE16" s="27"/>
      <c r="HF16" s="26" t="s">
        <v>218</v>
      </c>
      <c r="HM16" s="3"/>
      <c r="HN16" s="3"/>
      <c r="HO16" s="3"/>
      <c r="HP16" s="38"/>
      <c r="HT16" s="19">
        <f t="shared" si="10"/>
        <v>10</v>
      </c>
      <c r="HU16" s="20">
        <v>0</v>
      </c>
      <c r="HV16" s="21" t="s">
        <v>41</v>
      </c>
      <c r="HW16" s="22" t="s">
        <v>36</v>
      </c>
      <c r="HX16" s="21" t="s">
        <v>37</v>
      </c>
      <c r="HY16" s="23">
        <v>50</v>
      </c>
      <c r="HZ16" s="23" t="s">
        <v>293</v>
      </c>
      <c r="IA16" s="31">
        <f>20*10</f>
        <v>200</v>
      </c>
      <c r="IB16" s="32">
        <v>20000</v>
      </c>
      <c r="IC16" s="27"/>
      <c r="ID16" s="26" t="s">
        <v>219</v>
      </c>
      <c r="IF16" s="19">
        <f t="shared" si="16"/>
        <v>10</v>
      </c>
      <c r="IG16" s="20">
        <v>0</v>
      </c>
      <c r="IH16" s="21" t="s">
        <v>41</v>
      </c>
      <c r="II16" s="22" t="s">
        <v>36</v>
      </c>
      <c r="IJ16" s="21" t="s">
        <v>37</v>
      </c>
      <c r="IK16" s="23">
        <v>65</v>
      </c>
      <c r="IL16" s="23" t="s">
        <v>293</v>
      </c>
      <c r="IM16" s="31">
        <f>36*20</f>
        <v>720</v>
      </c>
      <c r="IN16" s="31"/>
      <c r="IO16" s="27"/>
      <c r="IP16" s="26" t="s">
        <v>220</v>
      </c>
      <c r="IW16" s="3"/>
      <c r="IX16" s="3"/>
      <c r="IY16" s="3"/>
      <c r="IZ16" s="3"/>
      <c r="JD16" s="19">
        <f t="shared" ref="JD16:JD22" si="17">JD15+1</f>
        <v>18</v>
      </c>
      <c r="JE16" s="20">
        <v>0</v>
      </c>
      <c r="JF16" s="21" t="s">
        <v>41</v>
      </c>
      <c r="JG16" s="22" t="s">
        <v>36</v>
      </c>
      <c r="JH16" s="21" t="s">
        <v>37</v>
      </c>
      <c r="JI16" s="23">
        <v>2000</v>
      </c>
      <c r="JJ16" s="23" t="s">
        <v>293</v>
      </c>
      <c r="JK16" s="24" t="s">
        <v>38</v>
      </c>
      <c r="JL16" s="32">
        <v>350</v>
      </c>
      <c r="JM16" s="27"/>
      <c r="JN16" s="26" t="s">
        <v>221</v>
      </c>
      <c r="JP16" s="19">
        <f t="shared" si="13"/>
        <v>10</v>
      </c>
      <c r="JQ16" s="20">
        <v>0</v>
      </c>
      <c r="JR16" s="21" t="s">
        <v>35</v>
      </c>
      <c r="JS16" s="22" t="s">
        <v>36</v>
      </c>
      <c r="JT16" s="21" t="s">
        <v>37</v>
      </c>
      <c r="JU16" s="23">
        <v>3500</v>
      </c>
      <c r="JV16" s="23" t="s">
        <v>329</v>
      </c>
      <c r="JW16" s="31">
        <f>288*20</f>
        <v>5760</v>
      </c>
      <c r="JX16" s="32">
        <v>289</v>
      </c>
      <c r="JY16" s="27"/>
      <c r="JZ16" s="26" t="s">
        <v>222</v>
      </c>
      <c r="KB16" s="19">
        <f t="shared" si="14"/>
        <v>10</v>
      </c>
      <c r="KC16" s="20">
        <v>0</v>
      </c>
      <c r="KD16" s="21" t="s">
        <v>41</v>
      </c>
      <c r="KE16" s="22" t="s">
        <v>36</v>
      </c>
      <c r="KF16" s="21" t="s">
        <v>37</v>
      </c>
      <c r="KG16" s="23">
        <v>20</v>
      </c>
      <c r="KH16" s="23" t="s">
        <v>293</v>
      </c>
      <c r="KI16" s="24" t="s">
        <v>38</v>
      </c>
      <c r="KJ16" s="28"/>
      <c r="KK16" s="27"/>
      <c r="KL16" s="26" t="s">
        <v>223</v>
      </c>
    </row>
    <row r="17" spans="60:298" ht="135" customHeight="1">
      <c r="BH17" s="19">
        <f t="shared" si="3"/>
        <v>11</v>
      </c>
      <c r="BI17" s="20">
        <v>0</v>
      </c>
      <c r="BJ17" s="21" t="s">
        <v>41</v>
      </c>
      <c r="BK17" s="22" t="s">
        <v>36</v>
      </c>
      <c r="BL17" s="21" t="s">
        <v>37</v>
      </c>
      <c r="BM17" s="23">
        <v>20</v>
      </c>
      <c r="BN17" s="23" t="s">
        <v>293</v>
      </c>
      <c r="BO17" s="24" t="s">
        <v>38</v>
      </c>
      <c r="BP17" s="28"/>
      <c r="BQ17" s="27"/>
      <c r="BR17" s="29" t="s">
        <v>213</v>
      </c>
      <c r="BU17" s="35"/>
      <c r="BV17" s="35"/>
      <c r="BW17" s="35"/>
      <c r="BX17" s="35"/>
      <c r="BY17" s="35"/>
      <c r="BZ17" s="35"/>
      <c r="CA17" s="35"/>
      <c r="CB17" s="35"/>
      <c r="CC17" s="35"/>
      <c r="CK17" s="35"/>
      <c r="CL17" s="35"/>
      <c r="CM17" s="35"/>
      <c r="CN17" s="35"/>
      <c r="CW17" s="35"/>
      <c r="CX17" s="35"/>
      <c r="CY17" s="35"/>
      <c r="CZ17" s="35"/>
      <c r="DI17" s="35"/>
      <c r="DJ17" s="35"/>
      <c r="DK17" s="35"/>
      <c r="DL17" s="35"/>
      <c r="DP17" s="19">
        <f t="shared" si="4"/>
        <v>11</v>
      </c>
      <c r="DQ17" s="20">
        <v>0</v>
      </c>
      <c r="DR17" s="21" t="s">
        <v>41</v>
      </c>
      <c r="DS17" s="22" t="s">
        <v>36</v>
      </c>
      <c r="DT17" s="21" t="s">
        <v>37</v>
      </c>
      <c r="DU17" s="23">
        <v>80</v>
      </c>
      <c r="DV17" s="23" t="s">
        <v>293</v>
      </c>
      <c r="DW17" s="24" t="s">
        <v>38</v>
      </c>
      <c r="DX17" s="24"/>
      <c r="DY17" s="27"/>
      <c r="DZ17" s="26" t="s">
        <v>225</v>
      </c>
      <c r="EB17" s="19">
        <f t="shared" si="5"/>
        <v>11</v>
      </c>
      <c r="EC17" s="20">
        <v>0</v>
      </c>
      <c r="ED17" s="21" t="s">
        <v>41</v>
      </c>
      <c r="EE17" s="22" t="s">
        <v>36</v>
      </c>
      <c r="EF17" s="21" t="s">
        <v>37</v>
      </c>
      <c r="EG17" s="23">
        <v>400</v>
      </c>
      <c r="EH17" s="23" t="s">
        <v>293</v>
      </c>
      <c r="EI17" s="31">
        <f>36*6</f>
        <v>216</v>
      </c>
      <c r="EJ17" s="32"/>
      <c r="EK17" s="27"/>
      <c r="EL17" s="26" t="s">
        <v>226</v>
      </c>
      <c r="EO17" s="35"/>
      <c r="EP17"/>
      <c r="EQ17" s="35"/>
      <c r="ER17" s="35"/>
      <c r="ES17" s="3"/>
      <c r="ET17" s="3"/>
      <c r="EU17" s="3"/>
      <c r="EV17" s="3"/>
      <c r="EX17" s="39"/>
      <c r="FE17" s="35"/>
      <c r="FF17" s="35"/>
      <c r="FG17" s="35"/>
      <c r="FH17" s="35"/>
      <c r="FL17" s="19">
        <f t="shared" si="15"/>
        <v>11</v>
      </c>
      <c r="FM17" s="20">
        <v>0</v>
      </c>
      <c r="FN17" s="21" t="s">
        <v>41</v>
      </c>
      <c r="FO17" s="22" t="s">
        <v>36</v>
      </c>
      <c r="FP17" s="21" t="s">
        <v>37</v>
      </c>
      <c r="FQ17" s="23">
        <v>20</v>
      </c>
      <c r="FR17" s="23" t="s">
        <v>293</v>
      </c>
      <c r="FS17" s="24" t="s">
        <v>38</v>
      </c>
      <c r="FT17" s="28"/>
      <c r="FU17" s="27"/>
      <c r="FV17" s="26" t="s">
        <v>227</v>
      </c>
      <c r="FX17" s="19">
        <f t="shared" si="7"/>
        <v>11</v>
      </c>
      <c r="FY17" s="20">
        <v>0</v>
      </c>
      <c r="FZ17" s="21" t="s">
        <v>41</v>
      </c>
      <c r="GA17" s="22" t="s">
        <v>36</v>
      </c>
      <c r="GB17" s="21" t="s">
        <v>37</v>
      </c>
      <c r="GC17" s="23">
        <v>50</v>
      </c>
      <c r="GD17" s="23" t="s">
        <v>293</v>
      </c>
      <c r="GE17" s="31">
        <f>36*15</f>
        <v>540</v>
      </c>
      <c r="GF17" s="31"/>
      <c r="GG17" s="27"/>
      <c r="GH17" s="26" t="s">
        <v>228</v>
      </c>
      <c r="GO17" s="3"/>
      <c r="GP17" s="3"/>
      <c r="GQ17" s="3"/>
      <c r="GR17" s="38"/>
      <c r="GT17" s="39"/>
      <c r="GV17" s="19">
        <f t="shared" si="9"/>
        <v>11</v>
      </c>
      <c r="GW17" s="20">
        <v>0</v>
      </c>
      <c r="GX17" s="21" t="s">
        <v>41</v>
      </c>
      <c r="GY17" s="22" t="s">
        <v>36</v>
      </c>
      <c r="GZ17" s="21" t="s">
        <v>54</v>
      </c>
      <c r="HA17" s="23">
        <v>375</v>
      </c>
      <c r="HB17" s="23" t="s">
        <v>293</v>
      </c>
      <c r="HC17" s="31">
        <f>24*16</f>
        <v>384</v>
      </c>
      <c r="HD17" s="32">
        <v>2250</v>
      </c>
      <c r="HE17" s="27"/>
      <c r="HF17" s="26" t="s">
        <v>229</v>
      </c>
      <c r="HM17" s="3"/>
      <c r="HN17" s="3"/>
      <c r="HO17" s="3"/>
      <c r="HP17" s="38"/>
      <c r="HT17" s="19">
        <f t="shared" si="10"/>
        <v>11</v>
      </c>
      <c r="HU17" s="20">
        <v>0</v>
      </c>
      <c r="HV17" s="21" t="s">
        <v>41</v>
      </c>
      <c r="HW17" s="22" t="s">
        <v>36</v>
      </c>
      <c r="HX17" s="21" t="s">
        <v>37</v>
      </c>
      <c r="HY17" s="23">
        <v>275</v>
      </c>
      <c r="HZ17" s="23" t="s">
        <v>293</v>
      </c>
      <c r="IA17" s="31">
        <f>80*10</f>
        <v>800</v>
      </c>
      <c r="IB17" s="32">
        <v>5000</v>
      </c>
      <c r="IC17" s="27"/>
      <c r="ID17" s="26" t="s">
        <v>230</v>
      </c>
      <c r="IF17" s="19">
        <f t="shared" si="16"/>
        <v>11</v>
      </c>
      <c r="IG17" s="20">
        <v>0</v>
      </c>
      <c r="IH17" s="21" t="s">
        <v>41</v>
      </c>
      <c r="II17" s="22" t="s">
        <v>36</v>
      </c>
      <c r="IJ17" s="21" t="s">
        <v>37</v>
      </c>
      <c r="IK17" s="23">
        <v>300</v>
      </c>
      <c r="IL17" s="23" t="s">
        <v>293</v>
      </c>
      <c r="IM17" s="31">
        <f>36*30</f>
        <v>1080</v>
      </c>
      <c r="IN17" s="31"/>
      <c r="IO17" s="27"/>
      <c r="IP17" s="26" t="s">
        <v>231</v>
      </c>
      <c r="IW17" s="3"/>
      <c r="IX17" s="3"/>
      <c r="IY17" s="3"/>
      <c r="IZ17" s="3"/>
      <c r="JD17" s="19">
        <f t="shared" si="17"/>
        <v>19</v>
      </c>
      <c r="JE17" s="20">
        <v>0</v>
      </c>
      <c r="JF17" s="21" t="s">
        <v>35</v>
      </c>
      <c r="JG17" s="22" t="s">
        <v>36</v>
      </c>
      <c r="JH17" s="21" t="s">
        <v>37</v>
      </c>
      <c r="JI17" s="23">
        <v>3500</v>
      </c>
      <c r="JJ17" s="23" t="s">
        <v>329</v>
      </c>
      <c r="JK17" s="31">
        <f>192*24</f>
        <v>4608</v>
      </c>
      <c r="JL17" s="32">
        <v>125</v>
      </c>
      <c r="JM17" s="27"/>
      <c r="JN17" s="26" t="s">
        <v>232</v>
      </c>
      <c r="JP17" s="19">
        <f t="shared" si="13"/>
        <v>11</v>
      </c>
      <c r="JQ17" s="20">
        <v>0</v>
      </c>
      <c r="JR17" s="21" t="s">
        <v>35</v>
      </c>
      <c r="JS17" s="22" t="s">
        <v>36</v>
      </c>
      <c r="JT17" s="21" t="s">
        <v>37</v>
      </c>
      <c r="JU17" s="23">
        <v>2800</v>
      </c>
      <c r="JV17" s="23" t="s">
        <v>329</v>
      </c>
      <c r="JW17" s="24" t="s">
        <v>38</v>
      </c>
      <c r="JX17" s="32"/>
      <c r="JY17" s="40" t="s">
        <v>233</v>
      </c>
      <c r="JZ17" s="26" t="s">
        <v>234</v>
      </c>
      <c r="KB17" s="19">
        <f t="shared" si="14"/>
        <v>11</v>
      </c>
      <c r="KC17" s="20">
        <v>0</v>
      </c>
      <c r="KD17" s="21" t="s">
        <v>41</v>
      </c>
      <c r="KE17" s="22" t="s">
        <v>36</v>
      </c>
      <c r="KF17" s="21" t="s">
        <v>37</v>
      </c>
      <c r="KG17" s="23">
        <v>450</v>
      </c>
      <c r="KH17" s="23" t="s">
        <v>293</v>
      </c>
      <c r="KI17" s="31">
        <f>48*10</f>
        <v>480</v>
      </c>
      <c r="KJ17" s="32">
        <v>2500</v>
      </c>
      <c r="KK17" s="27"/>
      <c r="KL17" s="26" t="s">
        <v>235</v>
      </c>
    </row>
    <row r="18" spans="60:298" ht="135" customHeight="1">
      <c r="BH18" s="19">
        <f t="shared" si="3"/>
        <v>12</v>
      </c>
      <c r="BI18" s="20">
        <v>0</v>
      </c>
      <c r="BJ18" s="21" t="s">
        <v>41</v>
      </c>
      <c r="BK18" s="22" t="s">
        <v>36</v>
      </c>
      <c r="BL18" s="21" t="s">
        <v>37</v>
      </c>
      <c r="BM18" s="23">
        <v>450</v>
      </c>
      <c r="BN18" s="23" t="s">
        <v>293</v>
      </c>
      <c r="BO18" s="31">
        <f>24*180</f>
        <v>4320</v>
      </c>
      <c r="BP18" s="32"/>
      <c r="BQ18" s="27"/>
      <c r="BR18" s="29" t="s">
        <v>224</v>
      </c>
      <c r="CK18" s="35"/>
      <c r="CL18" s="35"/>
      <c r="CM18" s="35"/>
      <c r="CN18" s="35"/>
      <c r="CW18" s="35"/>
      <c r="CX18" s="35"/>
      <c r="CY18" s="35"/>
      <c r="CZ18" s="35"/>
      <c r="DI18" s="35"/>
      <c r="DJ18" s="35"/>
      <c r="DK18" s="35"/>
      <c r="DL18" s="35"/>
      <c r="DP18" s="19">
        <f t="shared" si="4"/>
        <v>12</v>
      </c>
      <c r="DQ18" s="20">
        <v>0</v>
      </c>
      <c r="DR18" s="21" t="s">
        <v>41</v>
      </c>
      <c r="DS18" s="22" t="s">
        <v>36</v>
      </c>
      <c r="DT18" s="21" t="s">
        <v>37</v>
      </c>
      <c r="DU18" s="23">
        <v>50</v>
      </c>
      <c r="DV18" s="30"/>
      <c r="DW18" s="30"/>
      <c r="DX18" s="30"/>
      <c r="DY18" s="27"/>
      <c r="DZ18" s="26" t="s">
        <v>237</v>
      </c>
      <c r="EB18" s="19">
        <f t="shared" si="5"/>
        <v>12</v>
      </c>
      <c r="EC18" s="20">
        <v>0</v>
      </c>
      <c r="ED18" s="21" t="s">
        <v>41</v>
      </c>
      <c r="EE18" s="22" t="s">
        <v>36</v>
      </c>
      <c r="EF18" s="21" t="s">
        <v>37</v>
      </c>
      <c r="EG18" s="23">
        <v>600</v>
      </c>
      <c r="EH18" s="23" t="s">
        <v>293</v>
      </c>
      <c r="EI18" s="24" t="s">
        <v>38</v>
      </c>
      <c r="EJ18" s="28">
        <v>1250</v>
      </c>
      <c r="EK18" s="27"/>
      <c r="EL18" s="26" t="s">
        <v>238</v>
      </c>
      <c r="EO18" s="35"/>
      <c r="EP18" s="35"/>
      <c r="EQ18" s="35"/>
      <c r="ER18" s="35"/>
      <c r="ES18" s="3"/>
      <c r="ET18" s="3"/>
      <c r="EU18" s="3"/>
      <c r="EV18" s="3"/>
      <c r="EX18" s="39"/>
      <c r="FE18" s="35"/>
      <c r="FF18" s="35"/>
      <c r="FG18" s="35"/>
      <c r="FH18" s="35"/>
      <c r="FL18" s="19">
        <f t="shared" si="15"/>
        <v>12</v>
      </c>
      <c r="FM18" s="20">
        <v>0</v>
      </c>
      <c r="FN18" s="21" t="s">
        <v>41</v>
      </c>
      <c r="FO18" s="22" t="s">
        <v>36</v>
      </c>
      <c r="FP18" s="21" t="s">
        <v>37</v>
      </c>
      <c r="FQ18" s="23">
        <v>50</v>
      </c>
      <c r="FR18" s="23" t="s">
        <v>293</v>
      </c>
      <c r="FS18" s="24" t="s">
        <v>38</v>
      </c>
      <c r="FT18" s="32">
        <v>750</v>
      </c>
      <c r="FU18" s="27"/>
      <c r="FV18" s="26" t="s">
        <v>239</v>
      </c>
      <c r="FX18" s="19">
        <f t="shared" si="7"/>
        <v>12</v>
      </c>
      <c r="FY18" s="20">
        <v>0</v>
      </c>
      <c r="FZ18" s="21" t="s">
        <v>41</v>
      </c>
      <c r="GA18" s="22" t="s">
        <v>36</v>
      </c>
      <c r="GB18" s="21" t="s">
        <v>37</v>
      </c>
      <c r="GC18" s="23">
        <v>300</v>
      </c>
      <c r="GD18" s="23" t="s">
        <v>293</v>
      </c>
      <c r="GE18" s="31">
        <f>108*15</f>
        <v>1620</v>
      </c>
      <c r="GF18" s="31"/>
      <c r="GG18" s="27"/>
      <c r="GH18" s="26" t="s">
        <v>240</v>
      </c>
      <c r="GO18" s="3"/>
      <c r="GP18" s="3"/>
      <c r="GQ18" s="3"/>
      <c r="GR18" s="38"/>
      <c r="GT18" s="39"/>
      <c r="GV18" s="19">
        <f t="shared" si="9"/>
        <v>12</v>
      </c>
      <c r="GW18" s="20">
        <v>0</v>
      </c>
      <c r="GX18" s="21" t="s">
        <v>41</v>
      </c>
      <c r="GY18" s="22" t="s">
        <v>36</v>
      </c>
      <c r="GZ18" s="21" t="s">
        <v>54</v>
      </c>
      <c r="HA18" s="23">
        <v>400</v>
      </c>
      <c r="HB18" s="23" t="s">
        <v>293</v>
      </c>
      <c r="HC18" s="24" t="s">
        <v>38</v>
      </c>
      <c r="HD18" s="28">
        <v>750</v>
      </c>
      <c r="HE18" s="27"/>
      <c r="HF18" s="26" t="s">
        <v>241</v>
      </c>
      <c r="HT18" s="19">
        <f t="shared" si="10"/>
        <v>12</v>
      </c>
      <c r="HU18" s="20">
        <v>0</v>
      </c>
      <c r="HV18" s="21" t="s">
        <v>41</v>
      </c>
      <c r="HW18" s="22" t="s">
        <v>36</v>
      </c>
      <c r="HX18" s="21" t="s">
        <v>37</v>
      </c>
      <c r="HY18" s="23">
        <v>600</v>
      </c>
      <c r="HZ18" s="23" t="s">
        <v>293</v>
      </c>
      <c r="IA18" s="31">
        <f>160*10</f>
        <v>1600</v>
      </c>
      <c r="IB18" s="32">
        <v>2500</v>
      </c>
      <c r="IC18" s="27"/>
      <c r="ID18" s="26" t="s">
        <v>242</v>
      </c>
      <c r="IF18" s="19">
        <f t="shared" si="16"/>
        <v>12</v>
      </c>
      <c r="IG18" s="20">
        <v>0</v>
      </c>
      <c r="IH18" s="21" t="s">
        <v>41</v>
      </c>
      <c r="II18" s="22" t="s">
        <v>36</v>
      </c>
      <c r="IJ18" s="21" t="s">
        <v>37</v>
      </c>
      <c r="IK18" s="23">
        <v>950</v>
      </c>
      <c r="IL18" s="23" t="s">
        <v>293</v>
      </c>
      <c r="IM18" s="31">
        <f>144*30</f>
        <v>4320</v>
      </c>
      <c r="IN18" s="31"/>
      <c r="IO18" s="27"/>
      <c r="IP18" s="26" t="s">
        <v>243</v>
      </c>
      <c r="IW18" s="3"/>
      <c r="IX18" s="3"/>
      <c r="IY18" s="3"/>
      <c r="IZ18" s="3"/>
      <c r="JD18" s="19">
        <f t="shared" si="17"/>
        <v>20</v>
      </c>
      <c r="JE18" s="20">
        <v>0</v>
      </c>
      <c r="JF18" s="21" t="s">
        <v>35</v>
      </c>
      <c r="JG18" s="22" t="s">
        <v>36</v>
      </c>
      <c r="JH18" s="21" t="s">
        <v>37</v>
      </c>
      <c r="JI18" s="23">
        <v>4000</v>
      </c>
      <c r="JJ18" s="23" t="s">
        <v>329</v>
      </c>
      <c r="JK18" s="31">
        <f>384*24</f>
        <v>9216</v>
      </c>
      <c r="JL18" s="32">
        <v>63</v>
      </c>
      <c r="JM18" s="27"/>
      <c r="JN18" s="26" t="s">
        <v>244</v>
      </c>
      <c r="JP18" s="19">
        <f t="shared" si="13"/>
        <v>12</v>
      </c>
      <c r="JQ18" s="20">
        <v>0</v>
      </c>
      <c r="JR18" s="21" t="s">
        <v>35</v>
      </c>
      <c r="JS18" s="22" t="s">
        <v>36</v>
      </c>
      <c r="JT18" s="21" t="s">
        <v>37</v>
      </c>
      <c r="JU18" s="23">
        <v>5000</v>
      </c>
      <c r="JV18" s="23" t="s">
        <v>329</v>
      </c>
      <c r="JW18" s="24" t="s">
        <v>38</v>
      </c>
      <c r="JX18" s="32"/>
      <c r="JY18" s="41" t="s">
        <v>245</v>
      </c>
      <c r="JZ18" s="26" t="s">
        <v>246</v>
      </c>
      <c r="KB18" s="19">
        <f t="shared" si="14"/>
        <v>12</v>
      </c>
      <c r="KC18" s="20">
        <v>0</v>
      </c>
      <c r="KD18" s="21" t="s">
        <v>41</v>
      </c>
      <c r="KE18" s="22" t="s">
        <v>36</v>
      </c>
      <c r="KF18" s="21" t="s">
        <v>37</v>
      </c>
      <c r="KG18" s="23">
        <v>900</v>
      </c>
      <c r="KH18" s="23" t="s">
        <v>293</v>
      </c>
      <c r="KI18" s="31">
        <f>96*10</f>
        <v>960</v>
      </c>
      <c r="KJ18" s="32">
        <v>1250</v>
      </c>
      <c r="KK18" s="27"/>
      <c r="KL18" s="26" t="s">
        <v>247</v>
      </c>
    </row>
    <row r="19" spans="60:298" ht="135" customHeight="1">
      <c r="BH19" s="19">
        <f t="shared" si="3"/>
        <v>13</v>
      </c>
      <c r="BI19" s="20">
        <v>0</v>
      </c>
      <c r="BJ19" s="21" t="s">
        <v>41</v>
      </c>
      <c r="BK19" s="22" t="s">
        <v>36</v>
      </c>
      <c r="BL19" s="21" t="s">
        <v>37</v>
      </c>
      <c r="BM19" s="23">
        <v>200</v>
      </c>
      <c r="BN19" s="23" t="s">
        <v>293</v>
      </c>
      <c r="BO19" s="24" t="s">
        <v>38</v>
      </c>
      <c r="BP19" s="28">
        <v>6500</v>
      </c>
      <c r="BQ19" s="27"/>
      <c r="BR19" s="29" t="s">
        <v>236</v>
      </c>
      <c r="CK19" s="35"/>
      <c r="CL19" s="35"/>
      <c r="CM19" s="35"/>
      <c r="CN19" s="35"/>
      <c r="CW19" s="35"/>
      <c r="CX19" s="35"/>
      <c r="CY19" s="35"/>
      <c r="CZ19" s="35"/>
      <c r="DI19" s="35"/>
      <c r="DJ19" s="35"/>
      <c r="DK19" s="35"/>
      <c r="DL19" s="35"/>
      <c r="DU19" s="35"/>
      <c r="DV19" s="35"/>
      <c r="DW19" s="35"/>
      <c r="DX19" s="35"/>
      <c r="EB19" s="19">
        <f t="shared" si="5"/>
        <v>13</v>
      </c>
      <c r="EC19" s="20">
        <v>0</v>
      </c>
      <c r="ED19" s="21" t="s">
        <v>41</v>
      </c>
      <c r="EE19" s="22" t="s">
        <v>36</v>
      </c>
      <c r="EF19" s="21" t="s">
        <v>37</v>
      </c>
      <c r="EG19" s="23">
        <v>35</v>
      </c>
      <c r="EH19" s="23" t="s">
        <v>293</v>
      </c>
      <c r="EI19" s="24" t="s">
        <v>38</v>
      </c>
      <c r="EJ19" s="28">
        <v>1250</v>
      </c>
      <c r="EK19" s="27"/>
      <c r="EL19" s="26" t="s">
        <v>249</v>
      </c>
      <c r="EO19" s="35"/>
      <c r="EP19" s="35"/>
      <c r="EQ19" s="35"/>
      <c r="ER19" s="35"/>
      <c r="ES19" s="3"/>
      <c r="ET19" s="3"/>
      <c r="EU19" s="3"/>
      <c r="EV19" s="3"/>
      <c r="EX19" s="39"/>
      <c r="FE19" s="35"/>
      <c r="FF19" s="35"/>
      <c r="FG19" s="35"/>
      <c r="FH19" s="35"/>
      <c r="FL19" s="19">
        <f t="shared" si="15"/>
        <v>13</v>
      </c>
      <c r="FM19" s="20">
        <v>0</v>
      </c>
      <c r="FN19" s="21" t="s">
        <v>41</v>
      </c>
      <c r="FO19" s="22" t="s">
        <v>36</v>
      </c>
      <c r="FP19" s="21" t="s">
        <v>37</v>
      </c>
      <c r="FQ19" s="23">
        <v>75</v>
      </c>
      <c r="FR19" s="23" t="s">
        <v>293</v>
      </c>
      <c r="FS19" s="31">
        <f>150*6</f>
        <v>900</v>
      </c>
      <c r="FT19" s="32">
        <v>2304</v>
      </c>
      <c r="FU19" s="27"/>
      <c r="FV19" s="26" t="s">
        <v>250</v>
      </c>
      <c r="FX19" s="19">
        <f t="shared" si="7"/>
        <v>13</v>
      </c>
      <c r="FY19" s="20">
        <v>0</v>
      </c>
      <c r="FZ19" s="21" t="s">
        <v>41</v>
      </c>
      <c r="GA19" s="22" t="s">
        <v>36</v>
      </c>
      <c r="GB19" s="21" t="s">
        <v>37</v>
      </c>
      <c r="GC19" s="23">
        <v>65</v>
      </c>
      <c r="GD19" s="23" t="s">
        <v>293</v>
      </c>
      <c r="GE19" s="31">
        <f>36*22</f>
        <v>792</v>
      </c>
      <c r="GF19" s="31"/>
      <c r="GG19" s="27"/>
      <c r="GH19" s="26" t="s">
        <v>251</v>
      </c>
      <c r="GO19" s="3"/>
      <c r="GP19" s="3"/>
      <c r="GQ19" s="3"/>
      <c r="GR19" s="38"/>
      <c r="GT19" s="39"/>
      <c r="GV19" s="19">
        <f t="shared" si="9"/>
        <v>13</v>
      </c>
      <c r="GW19" s="20">
        <v>0</v>
      </c>
      <c r="GX19" s="21" t="s">
        <v>41</v>
      </c>
      <c r="GY19" s="22" t="s">
        <v>36</v>
      </c>
      <c r="GZ19" s="21" t="s">
        <v>37</v>
      </c>
      <c r="HA19" s="23">
        <v>100</v>
      </c>
      <c r="HB19" s="23" t="s">
        <v>293</v>
      </c>
      <c r="HC19" s="31">
        <f>4*15</f>
        <v>60</v>
      </c>
      <c r="HD19" s="32">
        <v>24000</v>
      </c>
      <c r="HE19" s="27"/>
      <c r="HF19" s="26" t="s">
        <v>252</v>
      </c>
      <c r="HY19" s="3"/>
      <c r="HZ19" s="3"/>
      <c r="IA19" s="3"/>
      <c r="IB19" s="38"/>
      <c r="IF19" s="19">
        <f t="shared" si="16"/>
        <v>13</v>
      </c>
      <c r="IG19" s="20">
        <v>0</v>
      </c>
      <c r="IH19" s="21" t="s">
        <v>41</v>
      </c>
      <c r="II19" s="22" t="s">
        <v>36</v>
      </c>
      <c r="IJ19" s="21" t="s">
        <v>37</v>
      </c>
      <c r="IK19" s="23">
        <v>500</v>
      </c>
      <c r="IL19" s="23" t="s">
        <v>293</v>
      </c>
      <c r="IM19" s="31">
        <f>36*20</f>
        <v>720</v>
      </c>
      <c r="IN19" s="31"/>
      <c r="IO19" s="27"/>
      <c r="IP19" s="26" t="s">
        <v>253</v>
      </c>
      <c r="IW19" s="3"/>
      <c r="IX19" s="3"/>
      <c r="IY19" s="3"/>
      <c r="IZ19" s="3"/>
      <c r="JD19" s="19">
        <f t="shared" si="17"/>
        <v>21</v>
      </c>
      <c r="JE19" s="20">
        <v>0</v>
      </c>
      <c r="JF19" s="21" t="s">
        <v>41</v>
      </c>
      <c r="JG19" s="22" t="s">
        <v>36</v>
      </c>
      <c r="JH19" s="21" t="s">
        <v>37</v>
      </c>
      <c r="JI19" s="23">
        <v>1750</v>
      </c>
      <c r="JJ19" s="23" t="s">
        <v>293</v>
      </c>
      <c r="JK19" s="31">
        <f>48*24</f>
        <v>1152</v>
      </c>
      <c r="JL19" s="32">
        <v>500</v>
      </c>
      <c r="JM19" s="27"/>
      <c r="JN19" s="26" t="s">
        <v>254</v>
      </c>
      <c r="JP19" s="19">
        <f t="shared" si="13"/>
        <v>13</v>
      </c>
      <c r="JQ19" s="20">
        <v>0</v>
      </c>
      <c r="JR19" s="21" t="s">
        <v>35</v>
      </c>
      <c r="JS19" s="22" t="s">
        <v>36</v>
      </c>
      <c r="JT19" s="21" t="s">
        <v>37</v>
      </c>
      <c r="JU19" s="23">
        <v>1200</v>
      </c>
      <c r="JV19" s="23" t="s">
        <v>329</v>
      </c>
      <c r="JW19" s="31">
        <f>96*20</f>
        <v>1920</v>
      </c>
      <c r="JX19" s="32">
        <v>886</v>
      </c>
      <c r="JY19" s="27"/>
      <c r="JZ19" s="26" t="s">
        <v>255</v>
      </c>
      <c r="KG19" s="3"/>
      <c r="KH19" s="3"/>
      <c r="KI19" s="3"/>
      <c r="KJ19" s="38"/>
    </row>
    <row r="20" spans="60:298" ht="135" customHeight="1">
      <c r="BH20" s="19">
        <f t="shared" si="3"/>
        <v>14</v>
      </c>
      <c r="BI20" s="20">
        <v>0</v>
      </c>
      <c r="BJ20" s="21" t="s">
        <v>41</v>
      </c>
      <c r="BK20" s="22" t="s">
        <v>36</v>
      </c>
      <c r="BL20" s="21" t="s">
        <v>37</v>
      </c>
      <c r="BM20" s="23">
        <v>250</v>
      </c>
      <c r="BN20" s="23" t="s">
        <v>293</v>
      </c>
      <c r="BO20" s="31">
        <f>24*27</f>
        <v>648</v>
      </c>
      <c r="BP20" s="32"/>
      <c r="BQ20" s="27"/>
      <c r="BR20" s="29" t="s">
        <v>248</v>
      </c>
      <c r="CK20" s="35"/>
      <c r="CL20" s="35"/>
      <c r="CM20" s="35"/>
      <c r="CN20" s="35"/>
      <c r="CW20" s="35"/>
      <c r="CX20" s="35"/>
      <c r="CY20" s="35"/>
      <c r="CZ20" s="35"/>
      <c r="DI20" s="35"/>
      <c r="DJ20" s="35"/>
      <c r="DK20" s="35"/>
      <c r="DL20" s="35"/>
      <c r="DU20" s="35"/>
      <c r="DV20" s="35"/>
      <c r="DW20" s="35"/>
      <c r="DX20" s="35"/>
      <c r="ES20" s="3"/>
      <c r="ET20" s="3"/>
      <c r="EU20" s="3"/>
      <c r="EV20" s="3"/>
      <c r="FE20" s="35"/>
      <c r="FF20" s="35"/>
      <c r="FG20" s="35"/>
      <c r="FH20" s="35"/>
      <c r="FL20" s="19">
        <f t="shared" si="15"/>
        <v>14</v>
      </c>
      <c r="FM20" s="20">
        <v>0</v>
      </c>
      <c r="FN20" s="21" t="s">
        <v>41</v>
      </c>
      <c r="FO20" s="22" t="s">
        <v>36</v>
      </c>
      <c r="FP20" s="21" t="s">
        <v>37</v>
      </c>
      <c r="FQ20" s="23">
        <v>500</v>
      </c>
      <c r="FR20" s="23" t="s">
        <v>293</v>
      </c>
      <c r="FS20" s="31">
        <f>24*150</f>
        <v>3600</v>
      </c>
      <c r="FT20" s="32">
        <v>576</v>
      </c>
      <c r="FU20" s="27"/>
      <c r="FV20" s="26" t="s">
        <v>257</v>
      </c>
      <c r="FX20" s="19">
        <f t="shared" si="7"/>
        <v>14</v>
      </c>
      <c r="FY20" s="20">
        <v>0</v>
      </c>
      <c r="FZ20" s="21" t="s">
        <v>41</v>
      </c>
      <c r="GA20" s="22" t="s">
        <v>36</v>
      </c>
      <c r="GB20" s="21" t="s">
        <v>37</v>
      </c>
      <c r="GC20" s="23">
        <v>250</v>
      </c>
      <c r="GD20" s="23" t="s">
        <v>293</v>
      </c>
      <c r="GE20" s="31">
        <f>66*22</f>
        <v>1452</v>
      </c>
      <c r="GF20" s="31"/>
      <c r="GG20" s="27"/>
      <c r="GH20" s="26" t="s">
        <v>258</v>
      </c>
      <c r="GO20" s="3"/>
      <c r="GP20" s="3"/>
      <c r="GQ20" s="3"/>
      <c r="GR20" s="38"/>
      <c r="GT20" s="39"/>
      <c r="GV20" s="19">
        <f t="shared" si="9"/>
        <v>14</v>
      </c>
      <c r="GW20" s="20">
        <v>0</v>
      </c>
      <c r="GX20" s="21" t="s">
        <v>41</v>
      </c>
      <c r="GY20" s="22" t="s">
        <v>36</v>
      </c>
      <c r="GZ20" s="21" t="s">
        <v>37</v>
      </c>
      <c r="HA20" s="23">
        <v>250</v>
      </c>
      <c r="HB20" s="23" t="s">
        <v>293</v>
      </c>
      <c r="HC20" s="24" t="s">
        <v>38</v>
      </c>
      <c r="HD20" s="28">
        <v>750</v>
      </c>
      <c r="HE20" s="27"/>
      <c r="HF20" s="26" t="s">
        <v>259</v>
      </c>
      <c r="HY20" s="3"/>
      <c r="HZ20" s="3"/>
      <c r="IA20" s="3"/>
      <c r="IB20" s="38"/>
      <c r="IF20" s="19">
        <f t="shared" si="16"/>
        <v>14</v>
      </c>
      <c r="IG20" s="20">
        <v>0</v>
      </c>
      <c r="IH20" s="21" t="s">
        <v>41</v>
      </c>
      <c r="II20" s="22" t="s">
        <v>36</v>
      </c>
      <c r="IJ20" s="21" t="s">
        <v>37</v>
      </c>
      <c r="IK20" s="23">
        <v>1100</v>
      </c>
      <c r="IL20" s="23" t="s">
        <v>293</v>
      </c>
      <c r="IM20" s="31">
        <f>144*20</f>
        <v>2880</v>
      </c>
      <c r="IN20" s="31"/>
      <c r="IO20" s="27"/>
      <c r="IP20" s="26" t="s">
        <v>260</v>
      </c>
      <c r="JD20" s="19">
        <f t="shared" si="17"/>
        <v>22</v>
      </c>
      <c r="JE20" s="20">
        <v>0</v>
      </c>
      <c r="JF20" s="21" t="s">
        <v>41</v>
      </c>
      <c r="JG20" s="22" t="s">
        <v>36</v>
      </c>
      <c r="JH20" s="21" t="s">
        <v>37</v>
      </c>
      <c r="JI20" s="23">
        <v>2000</v>
      </c>
      <c r="JJ20" s="23" t="s">
        <v>293</v>
      </c>
      <c r="JK20" s="24" t="s">
        <v>38</v>
      </c>
      <c r="JL20" s="32">
        <v>350</v>
      </c>
      <c r="JM20" s="27"/>
      <c r="JN20" s="26" t="s">
        <v>261</v>
      </c>
      <c r="JP20" s="19">
        <f t="shared" si="13"/>
        <v>14</v>
      </c>
      <c r="JQ20" s="20">
        <v>0</v>
      </c>
      <c r="JR20" s="21" t="s">
        <v>35</v>
      </c>
      <c r="JS20" s="22" t="s">
        <v>36</v>
      </c>
      <c r="JT20" s="21" t="s">
        <v>37</v>
      </c>
      <c r="JU20" s="23">
        <v>50000</v>
      </c>
      <c r="JV20" s="23" t="s">
        <v>329</v>
      </c>
      <c r="JW20" s="31">
        <f>1152*20</f>
        <v>23040</v>
      </c>
      <c r="JX20" s="32">
        <v>74</v>
      </c>
      <c r="JY20" s="27"/>
      <c r="JZ20" s="26" t="s">
        <v>262</v>
      </c>
      <c r="KG20" s="3"/>
      <c r="KH20" s="3"/>
      <c r="KI20" s="3"/>
      <c r="KJ20" s="38"/>
    </row>
    <row r="21" spans="60:298" ht="135" customHeight="1">
      <c r="BH21" s="19">
        <f t="shared" si="3"/>
        <v>15</v>
      </c>
      <c r="BI21" s="20">
        <v>0</v>
      </c>
      <c r="BJ21" s="21" t="s">
        <v>41</v>
      </c>
      <c r="BK21" s="22" t="s">
        <v>36</v>
      </c>
      <c r="BL21" s="21" t="s">
        <v>37</v>
      </c>
      <c r="BM21" s="23">
        <v>450</v>
      </c>
      <c r="BN21" s="23" t="s">
        <v>293</v>
      </c>
      <c r="BO21" s="24" t="s">
        <v>38</v>
      </c>
      <c r="BP21" s="28">
        <v>6500</v>
      </c>
      <c r="BQ21" s="27"/>
      <c r="BR21" s="29" t="s">
        <v>256</v>
      </c>
      <c r="CK21" s="35"/>
      <c r="CL21" s="35"/>
      <c r="CM21" s="35"/>
      <c r="CN21" s="35"/>
      <c r="CW21" s="35"/>
      <c r="CX21" s="35"/>
      <c r="CY21" s="35"/>
      <c r="CZ21" s="35"/>
      <c r="DI21" s="35"/>
      <c r="DJ21" s="35"/>
      <c r="DK21" s="35"/>
      <c r="DL21" s="35"/>
      <c r="DU21" s="35"/>
      <c r="DV21" s="35"/>
      <c r="DW21" s="35"/>
      <c r="DX21" s="35"/>
      <c r="EG21" s="35"/>
      <c r="EH21" s="35"/>
      <c r="EI21" s="35"/>
      <c r="EJ21" s="35"/>
      <c r="ES21" s="3"/>
      <c r="ET21" s="3"/>
      <c r="EU21" s="3"/>
      <c r="EV21" s="3"/>
      <c r="FE21" s="35"/>
      <c r="FF21" s="35"/>
      <c r="FG21" s="35"/>
      <c r="FH21" s="35"/>
      <c r="FL21" s="19">
        <f t="shared" si="15"/>
        <v>15</v>
      </c>
      <c r="FM21" s="20">
        <v>0</v>
      </c>
      <c r="FN21" s="21" t="s">
        <v>41</v>
      </c>
      <c r="FO21" s="22" t="s">
        <v>36</v>
      </c>
      <c r="FP21" s="21" t="s">
        <v>37</v>
      </c>
      <c r="FQ21" s="23">
        <v>2600</v>
      </c>
      <c r="FR21" s="23" t="s">
        <v>293</v>
      </c>
      <c r="FS21" s="31">
        <f>96*150</f>
        <v>14400</v>
      </c>
      <c r="FT21" s="32">
        <v>120</v>
      </c>
      <c r="FU21" s="27"/>
      <c r="FV21" s="26" t="s">
        <v>264</v>
      </c>
      <c r="FX21" s="19">
        <f t="shared" si="7"/>
        <v>15</v>
      </c>
      <c r="FY21" s="20">
        <v>0</v>
      </c>
      <c r="FZ21" s="21" t="s">
        <v>41</v>
      </c>
      <c r="GA21" s="22" t="s">
        <v>36</v>
      </c>
      <c r="GB21" s="21" t="s">
        <v>37</v>
      </c>
      <c r="GC21" s="23">
        <v>65</v>
      </c>
      <c r="GD21" s="23" t="s">
        <v>293</v>
      </c>
      <c r="GE21" s="31">
        <f>72*22</f>
        <v>1584</v>
      </c>
      <c r="GF21" s="31"/>
      <c r="GG21" s="27"/>
      <c r="GH21" s="26" t="s">
        <v>265</v>
      </c>
      <c r="GK21" s="35"/>
      <c r="GL21" s="35"/>
      <c r="GM21" s="35"/>
      <c r="GN21" s="35"/>
      <c r="GO21" s="3"/>
      <c r="GP21" s="3"/>
      <c r="GQ21" s="3"/>
      <c r="GR21" s="38"/>
      <c r="GT21" s="39"/>
      <c r="GV21" s="19">
        <f t="shared" si="9"/>
        <v>15</v>
      </c>
      <c r="GW21" s="20">
        <v>0</v>
      </c>
      <c r="GX21" s="21" t="s">
        <v>41</v>
      </c>
      <c r="GY21" s="22" t="s">
        <v>36</v>
      </c>
      <c r="GZ21" s="21" t="s">
        <v>37</v>
      </c>
      <c r="HA21" s="23">
        <v>150</v>
      </c>
      <c r="HB21" s="23" t="s">
        <v>293</v>
      </c>
      <c r="HC21" s="31">
        <f>20*10</f>
        <v>200</v>
      </c>
      <c r="HD21" s="32">
        <v>8400</v>
      </c>
      <c r="HE21" s="27"/>
      <c r="HF21" s="26" t="s">
        <v>266</v>
      </c>
      <c r="HM21" s="3"/>
      <c r="HN21" s="3"/>
      <c r="HO21" s="3"/>
      <c r="HP21" s="38"/>
      <c r="HY21" s="3"/>
      <c r="HZ21" s="3"/>
      <c r="IA21" s="3"/>
      <c r="IB21" s="38"/>
      <c r="JD21" s="19">
        <f t="shared" si="17"/>
        <v>23</v>
      </c>
      <c r="JE21" s="20">
        <v>0</v>
      </c>
      <c r="JF21" s="21" t="s">
        <v>35</v>
      </c>
      <c r="JG21" s="22" t="s">
        <v>36</v>
      </c>
      <c r="JH21" s="21" t="s">
        <v>37</v>
      </c>
      <c r="JI21" s="23">
        <v>3500</v>
      </c>
      <c r="JJ21" s="23" t="s">
        <v>329</v>
      </c>
      <c r="JK21" s="31">
        <f>192*24</f>
        <v>4608</v>
      </c>
      <c r="JL21" s="32">
        <v>125</v>
      </c>
      <c r="JM21" s="27"/>
      <c r="JN21" s="26" t="s">
        <v>267</v>
      </c>
      <c r="KG21" s="3"/>
      <c r="KH21" s="3"/>
      <c r="KI21" s="3"/>
      <c r="KJ21" s="38"/>
    </row>
    <row r="22" spans="60:298" ht="135" customHeight="1">
      <c r="BH22" s="19">
        <f t="shared" si="3"/>
        <v>16</v>
      </c>
      <c r="BI22" s="20">
        <v>0</v>
      </c>
      <c r="BJ22" s="21" t="s">
        <v>41</v>
      </c>
      <c r="BK22" s="22" t="s">
        <v>36</v>
      </c>
      <c r="BL22" s="21" t="s">
        <v>37</v>
      </c>
      <c r="BM22" s="23">
        <v>1100</v>
      </c>
      <c r="BN22" s="23" t="s">
        <v>293</v>
      </c>
      <c r="BO22" s="24" t="s">
        <v>38</v>
      </c>
      <c r="BP22" s="28"/>
      <c r="BQ22" s="27"/>
      <c r="BR22" s="29" t="s">
        <v>263</v>
      </c>
      <c r="CK22" s="35"/>
      <c r="CL22" s="35"/>
      <c r="CM22" s="35"/>
      <c r="CN22" s="35"/>
      <c r="CW22" s="35"/>
      <c r="CX22" s="35"/>
      <c r="CY22" s="35"/>
      <c r="CZ22" s="35"/>
      <c r="DI22" s="35"/>
      <c r="DJ22" s="35"/>
      <c r="DK22" s="35"/>
      <c r="DL22" s="35"/>
      <c r="DU22" s="35"/>
      <c r="DV22" s="35"/>
      <c r="DW22" s="35"/>
      <c r="DX22" s="35"/>
      <c r="EG22" s="35"/>
      <c r="EH22" s="35"/>
      <c r="EI22" s="35"/>
      <c r="EJ22" s="35"/>
      <c r="ES22" s="3"/>
      <c r="ET22" s="3"/>
      <c r="EU22" s="3"/>
      <c r="EV22" s="3"/>
      <c r="FE22" s="35"/>
      <c r="FF22" s="35"/>
      <c r="FG22" s="35"/>
      <c r="FH22" s="35"/>
      <c r="FL22" s="19">
        <f t="shared" si="15"/>
        <v>16</v>
      </c>
      <c r="FM22" s="20">
        <v>0</v>
      </c>
      <c r="FN22" s="21" t="s">
        <v>41</v>
      </c>
      <c r="FO22" s="22" t="s">
        <v>36</v>
      </c>
      <c r="FP22" s="21" t="s">
        <v>37</v>
      </c>
      <c r="FQ22" s="23">
        <v>150</v>
      </c>
      <c r="FR22" s="23" t="s">
        <v>293</v>
      </c>
      <c r="FS22" s="31">
        <f>18*25</f>
        <v>450</v>
      </c>
      <c r="FT22" s="32">
        <v>3840</v>
      </c>
      <c r="FU22" s="27"/>
      <c r="FV22" s="26" t="s">
        <v>268</v>
      </c>
      <c r="FX22" s="19">
        <f t="shared" si="7"/>
        <v>16</v>
      </c>
      <c r="FY22" s="20">
        <v>0</v>
      </c>
      <c r="FZ22" s="21" t="s">
        <v>41</v>
      </c>
      <c r="GA22" s="22" t="s">
        <v>36</v>
      </c>
      <c r="GB22" s="21" t="s">
        <v>37</v>
      </c>
      <c r="GC22" s="23">
        <v>250</v>
      </c>
      <c r="GD22" s="23" t="s">
        <v>293</v>
      </c>
      <c r="GE22" s="31">
        <f>216*22</f>
        <v>4752</v>
      </c>
      <c r="GF22" s="31"/>
      <c r="GG22" s="27"/>
      <c r="GH22" s="26" t="s">
        <v>269</v>
      </c>
      <c r="GK22" s="35"/>
      <c r="GL22" s="35"/>
      <c r="GM22" s="35"/>
      <c r="GN22" s="35"/>
      <c r="GO22" s="3"/>
      <c r="GP22" s="3"/>
      <c r="GQ22" s="3"/>
      <c r="GR22" s="38"/>
      <c r="GT22" s="39"/>
      <c r="GV22" s="19">
        <f t="shared" si="9"/>
        <v>16</v>
      </c>
      <c r="GW22" s="20">
        <v>0</v>
      </c>
      <c r="GX22" s="21" t="s">
        <v>41</v>
      </c>
      <c r="GY22" s="22" t="s">
        <v>36</v>
      </c>
      <c r="GZ22" s="21" t="s">
        <v>37</v>
      </c>
      <c r="HA22" s="23">
        <v>350</v>
      </c>
      <c r="HB22" s="23" t="s">
        <v>293</v>
      </c>
      <c r="HC22" s="24" t="s">
        <v>38</v>
      </c>
      <c r="HD22" s="28">
        <v>750</v>
      </c>
      <c r="HE22" s="27"/>
      <c r="HF22" s="26" t="s">
        <v>270</v>
      </c>
      <c r="HM22" s="3"/>
      <c r="HN22" s="3"/>
      <c r="HO22" s="3"/>
      <c r="HP22" s="38"/>
      <c r="HY22" s="3"/>
      <c r="HZ22" s="3"/>
      <c r="IA22" s="3"/>
      <c r="IB22" s="38"/>
      <c r="IK22" s="3"/>
      <c r="IL22" s="3"/>
      <c r="IM22" s="3"/>
      <c r="IN22" s="3"/>
      <c r="JD22" s="19">
        <f t="shared" si="17"/>
        <v>24</v>
      </c>
      <c r="JE22" s="20">
        <v>0</v>
      </c>
      <c r="JF22" s="21" t="s">
        <v>35</v>
      </c>
      <c r="JG22" s="22" t="s">
        <v>36</v>
      </c>
      <c r="JH22" s="21" t="s">
        <v>37</v>
      </c>
      <c r="JI22" s="23">
        <v>5000</v>
      </c>
      <c r="JJ22" s="23" t="s">
        <v>329</v>
      </c>
      <c r="JK22" s="31">
        <f>384*24</f>
        <v>9216</v>
      </c>
      <c r="JL22" s="32">
        <v>63</v>
      </c>
      <c r="JM22" s="27"/>
      <c r="JN22" s="26" t="s">
        <v>271</v>
      </c>
      <c r="KG22" s="3"/>
      <c r="KH22" s="3"/>
      <c r="KI22" s="3"/>
      <c r="KJ22" s="38"/>
    </row>
    <row r="23" spans="60:298" ht="135" customHeight="1">
      <c r="BH23" s="19">
        <f t="shared" si="3"/>
        <v>17</v>
      </c>
      <c r="BI23" s="20">
        <v>0</v>
      </c>
      <c r="BJ23" s="21" t="s">
        <v>41</v>
      </c>
      <c r="BK23" s="22" t="s">
        <v>36</v>
      </c>
      <c r="BL23" s="21" t="s">
        <v>37</v>
      </c>
      <c r="BM23" s="23">
        <v>40</v>
      </c>
      <c r="BN23" s="23" t="s">
        <v>293</v>
      </c>
      <c r="BO23" s="24" t="s">
        <v>38</v>
      </c>
      <c r="BP23" s="42"/>
      <c r="BQ23" s="27"/>
      <c r="BR23" s="26" t="s">
        <v>272</v>
      </c>
      <c r="BU23" s="35"/>
      <c r="BV23" s="35"/>
      <c r="BW23" s="35"/>
      <c r="BX23" s="35"/>
      <c r="BY23" s="35"/>
      <c r="BZ23" s="35"/>
      <c r="CA23" s="35"/>
      <c r="CB23" s="35"/>
      <c r="CC23" s="35"/>
      <c r="CK23" s="35"/>
      <c r="CL23" s="35"/>
      <c r="CM23" s="35"/>
      <c r="CN23" s="35"/>
      <c r="CW23" s="35"/>
      <c r="CX23" s="35"/>
      <c r="CY23" s="35"/>
      <c r="CZ23" s="35"/>
      <c r="DI23" s="35"/>
      <c r="DJ23" s="35"/>
      <c r="DK23" s="35"/>
      <c r="DL23" s="35"/>
      <c r="DU23" s="35"/>
      <c r="DV23" s="35"/>
      <c r="DW23" s="35"/>
      <c r="DX23" s="35"/>
      <c r="EG23" s="35"/>
      <c r="EH23" s="35"/>
      <c r="EI23" s="35"/>
      <c r="EJ23" s="35"/>
      <c r="ES23" s="3"/>
      <c r="ET23" s="3"/>
      <c r="EU23" s="3"/>
      <c r="EV23" s="3"/>
      <c r="FE23" s="35"/>
      <c r="FF23" s="35"/>
      <c r="FG23" s="35"/>
      <c r="FH23" s="35"/>
      <c r="FL23" s="19">
        <f t="shared" si="15"/>
        <v>17</v>
      </c>
      <c r="FM23" s="20">
        <v>0</v>
      </c>
      <c r="FN23" s="21" t="s">
        <v>41</v>
      </c>
      <c r="FO23" s="22" t="s">
        <v>36</v>
      </c>
      <c r="FP23" s="21" t="s">
        <v>37</v>
      </c>
      <c r="FQ23" s="23">
        <v>250</v>
      </c>
      <c r="FR23" s="23" t="s">
        <v>293</v>
      </c>
      <c r="FS23" s="24" t="s">
        <v>38</v>
      </c>
      <c r="FT23" s="28">
        <v>750</v>
      </c>
      <c r="FU23" s="27"/>
      <c r="FV23" s="26" t="s">
        <v>273</v>
      </c>
      <c r="FX23" s="19">
        <f t="shared" si="7"/>
        <v>17</v>
      </c>
      <c r="FY23" s="20">
        <v>0</v>
      </c>
      <c r="FZ23" s="21" t="s">
        <v>41</v>
      </c>
      <c r="GA23" s="22" t="s">
        <v>36</v>
      </c>
      <c r="GB23" s="21" t="s">
        <v>37</v>
      </c>
      <c r="GC23" s="23">
        <v>900</v>
      </c>
      <c r="GD23" s="23" t="s">
        <v>293</v>
      </c>
      <c r="GE23" s="31">
        <f>36*29</f>
        <v>1044</v>
      </c>
      <c r="GF23" s="31"/>
      <c r="GG23" s="27"/>
      <c r="GH23" s="26" t="s">
        <v>274</v>
      </c>
      <c r="GK23" s="35"/>
      <c r="GL23" s="35"/>
      <c r="GM23" s="35"/>
      <c r="GN23" s="35"/>
      <c r="GO23" s="3"/>
      <c r="GP23" s="3"/>
      <c r="GQ23" s="3"/>
      <c r="GR23" s="38"/>
      <c r="GT23" s="39"/>
      <c r="GV23" s="19">
        <f t="shared" si="9"/>
        <v>17</v>
      </c>
      <c r="GW23" s="20">
        <v>0</v>
      </c>
      <c r="GX23" s="21" t="s">
        <v>35</v>
      </c>
      <c r="GY23" s="22" t="s">
        <v>36</v>
      </c>
      <c r="GZ23" s="21" t="s">
        <v>37</v>
      </c>
      <c r="HA23" s="23">
        <v>400</v>
      </c>
      <c r="HB23" s="23" t="s">
        <v>305</v>
      </c>
      <c r="HC23" s="31"/>
      <c r="HD23" s="32"/>
      <c r="HE23" s="27"/>
      <c r="HF23" s="26" t="s">
        <v>275</v>
      </c>
      <c r="HM23" s="3"/>
      <c r="HN23" s="3"/>
      <c r="HO23" s="3"/>
      <c r="HP23" s="38"/>
      <c r="HY23" s="3"/>
      <c r="HZ23" s="3"/>
      <c r="IA23" s="3"/>
      <c r="IB23" s="38"/>
      <c r="IK23" s="3"/>
      <c r="IL23" s="3"/>
      <c r="IM23" s="3"/>
      <c r="IN23" s="3"/>
      <c r="JD23" s="19">
        <f>JD14+1</f>
        <v>9</v>
      </c>
      <c r="JE23" s="20">
        <v>0</v>
      </c>
      <c r="JF23" s="21" t="s">
        <v>41</v>
      </c>
      <c r="JG23" s="22" t="s">
        <v>36</v>
      </c>
      <c r="JH23" s="21" t="s">
        <v>37</v>
      </c>
      <c r="JI23" s="23">
        <v>100</v>
      </c>
      <c r="JJ23" s="23" t="s">
        <v>293</v>
      </c>
      <c r="JK23" s="31">
        <f>12*10</f>
        <v>120</v>
      </c>
      <c r="JL23" s="28">
        <v>4800</v>
      </c>
      <c r="JM23" s="27"/>
      <c r="JN23" s="26" t="s">
        <v>276</v>
      </c>
      <c r="KG23" s="3"/>
      <c r="KH23" s="3"/>
      <c r="KI23" s="3"/>
      <c r="KJ23" s="38"/>
    </row>
    <row r="24" spans="60:298" ht="135" customHeight="1">
      <c r="BU24" s="35"/>
      <c r="BV24" s="35"/>
      <c r="BW24" s="35"/>
      <c r="BX24" s="35"/>
      <c r="BY24" s="35"/>
      <c r="BZ24" s="35"/>
      <c r="CA24" s="35"/>
      <c r="CB24" s="35"/>
      <c r="CC24" s="35"/>
      <c r="CK24" s="35"/>
      <c r="CL24" s="35"/>
      <c r="CM24" s="35"/>
      <c r="CN24" s="35"/>
      <c r="CW24" s="35"/>
      <c r="CX24" s="35"/>
      <c r="CY24" s="35"/>
      <c r="CZ24" s="35"/>
      <c r="DI24" s="35"/>
      <c r="DJ24" s="35"/>
      <c r="DK24" s="35"/>
      <c r="DL24" s="35"/>
      <c r="DU24" s="35"/>
      <c r="DV24" s="35"/>
      <c r="DW24" s="35"/>
      <c r="DX24" s="35"/>
      <c r="EG24" s="35"/>
      <c r="EH24" s="35"/>
      <c r="EI24" s="35"/>
      <c r="EJ24" s="35"/>
      <c r="ES24" s="3"/>
      <c r="ET24" s="3"/>
      <c r="EU24" s="3"/>
      <c r="EV24" s="3"/>
      <c r="FE24" s="35"/>
      <c r="FF24" s="35"/>
      <c r="FG24" s="35"/>
      <c r="FH24" s="35"/>
      <c r="FL24" s="19">
        <f t="shared" si="15"/>
        <v>18</v>
      </c>
      <c r="FM24" s="20">
        <v>0</v>
      </c>
      <c r="FN24" s="21" t="s">
        <v>41</v>
      </c>
      <c r="FO24" s="22" t="s">
        <v>36</v>
      </c>
      <c r="FP24" s="21" t="s">
        <v>37</v>
      </c>
      <c r="FQ24" s="23">
        <v>100</v>
      </c>
      <c r="FR24" s="23" t="s">
        <v>293</v>
      </c>
      <c r="FS24" s="31">
        <f>6*50</f>
        <v>300</v>
      </c>
      <c r="FT24" s="32">
        <v>3840</v>
      </c>
      <c r="FU24" s="27"/>
      <c r="FV24" s="26" t="s">
        <v>277</v>
      </c>
      <c r="GC24" s="35"/>
      <c r="GD24" s="35"/>
      <c r="GE24" s="35"/>
      <c r="GF24" s="35"/>
      <c r="GO24" s="3"/>
      <c r="GP24" s="3"/>
      <c r="GQ24" s="3"/>
      <c r="GR24" s="38"/>
      <c r="GV24" s="19">
        <f t="shared" si="9"/>
        <v>18</v>
      </c>
      <c r="GW24" s="20">
        <v>0</v>
      </c>
      <c r="GX24" s="21" t="s">
        <v>41</v>
      </c>
      <c r="GY24" s="22" t="s">
        <v>36</v>
      </c>
      <c r="GZ24" s="21" t="s">
        <v>37</v>
      </c>
      <c r="HA24" s="23">
        <v>150</v>
      </c>
      <c r="HB24" s="23" t="s">
        <v>293</v>
      </c>
      <c r="HC24" s="31">
        <f>20*12</f>
        <v>240</v>
      </c>
      <c r="HD24" s="32">
        <v>10000</v>
      </c>
      <c r="HE24" s="27"/>
      <c r="HF24" s="26" t="s">
        <v>278</v>
      </c>
      <c r="HM24" s="3"/>
      <c r="HN24" s="3"/>
      <c r="HO24" s="3"/>
      <c r="HP24" s="38"/>
      <c r="HY24" s="3"/>
      <c r="HZ24" s="3"/>
      <c r="IA24" s="3"/>
      <c r="IB24" s="38"/>
      <c r="IK24" s="3"/>
      <c r="IL24" s="3"/>
      <c r="IM24" s="3"/>
      <c r="IN24" s="3"/>
      <c r="JD24" s="19">
        <f t="shared" ref="JD24:JD30" si="18">JD23+1</f>
        <v>10</v>
      </c>
      <c r="JE24" s="20">
        <v>0</v>
      </c>
      <c r="JF24" s="21" t="s">
        <v>41</v>
      </c>
      <c r="JG24" s="22" t="s">
        <v>36</v>
      </c>
      <c r="JH24" s="21" t="s">
        <v>37</v>
      </c>
      <c r="JI24" s="23">
        <v>1500</v>
      </c>
      <c r="JJ24" s="23" t="s">
        <v>293</v>
      </c>
      <c r="JK24" s="24" t="s">
        <v>38</v>
      </c>
      <c r="JL24" s="32">
        <v>350</v>
      </c>
      <c r="JM24" s="27"/>
      <c r="JN24" s="26" t="s">
        <v>279</v>
      </c>
      <c r="KG24" s="3"/>
      <c r="KH24" s="3"/>
      <c r="KI24" s="3"/>
      <c r="KJ24" s="38"/>
    </row>
    <row r="25" spans="60:298" ht="135" customHeight="1">
      <c r="BU25" s="35"/>
      <c r="BV25" s="35"/>
      <c r="BW25" s="35"/>
      <c r="BX25" s="35"/>
      <c r="BY25" s="35"/>
      <c r="BZ25" s="35"/>
      <c r="CA25" s="35"/>
      <c r="CB25" s="35"/>
      <c r="CC25" s="35"/>
      <c r="CK25" s="35"/>
      <c r="CL25" s="35"/>
      <c r="CM25" s="35"/>
      <c r="CN25" s="35"/>
      <c r="CW25" s="35"/>
      <c r="CX25" s="35"/>
      <c r="CY25" s="35"/>
      <c r="CZ25" s="35"/>
      <c r="DI25" s="35"/>
      <c r="DJ25" s="35"/>
      <c r="DK25" s="35"/>
      <c r="DL25" s="35"/>
      <c r="DU25" s="35"/>
      <c r="DV25" s="35"/>
      <c r="DW25" s="35"/>
      <c r="DX25" s="35"/>
      <c r="EG25" s="35"/>
      <c r="EH25" s="35"/>
      <c r="EI25" s="35"/>
      <c r="EJ25" s="35"/>
      <c r="ES25" s="3"/>
      <c r="ET25" s="3"/>
      <c r="EU25" s="3"/>
      <c r="EV25" s="3"/>
      <c r="FE25" s="35"/>
      <c r="FF25" s="35"/>
      <c r="FG25" s="35"/>
      <c r="FH25" s="35"/>
      <c r="FL25" s="19">
        <f t="shared" si="15"/>
        <v>19</v>
      </c>
      <c r="FM25" s="20">
        <v>0</v>
      </c>
      <c r="FN25" s="21" t="s">
        <v>41</v>
      </c>
      <c r="FO25" s="22" t="s">
        <v>36</v>
      </c>
      <c r="FP25" s="21" t="s">
        <v>37</v>
      </c>
      <c r="FQ25" s="23">
        <v>500</v>
      </c>
      <c r="FR25" s="23" t="s">
        <v>293</v>
      </c>
      <c r="FS25" s="24" t="s">
        <v>38</v>
      </c>
      <c r="FT25" s="28">
        <v>750</v>
      </c>
      <c r="FU25" s="27"/>
      <c r="FV25" s="26" t="s">
        <v>280</v>
      </c>
      <c r="GC25" s="35"/>
      <c r="GD25" s="35"/>
      <c r="GE25" s="35"/>
      <c r="GF25" s="35"/>
      <c r="GV25" s="19">
        <f t="shared" si="9"/>
        <v>19</v>
      </c>
      <c r="GW25" s="20">
        <v>0</v>
      </c>
      <c r="GX25" s="21" t="s">
        <v>41</v>
      </c>
      <c r="GY25" s="22" t="s">
        <v>36</v>
      </c>
      <c r="GZ25" s="21" t="s">
        <v>37</v>
      </c>
      <c r="HA25" s="23">
        <v>400</v>
      </c>
      <c r="HB25" s="23" t="s">
        <v>293</v>
      </c>
      <c r="HC25" s="24" t="s">
        <v>38</v>
      </c>
      <c r="HD25" s="28">
        <v>750</v>
      </c>
      <c r="HE25" s="27"/>
      <c r="HF25" s="26" t="s">
        <v>281</v>
      </c>
      <c r="HM25" s="3"/>
      <c r="HN25" s="3"/>
      <c r="HO25" s="3"/>
      <c r="HP25" s="38"/>
      <c r="HY25" s="3"/>
      <c r="HZ25" s="3"/>
      <c r="IA25" s="3"/>
      <c r="IB25" s="38"/>
      <c r="IK25" s="3"/>
      <c r="IL25" s="3"/>
      <c r="IM25" s="3"/>
      <c r="IN25" s="3"/>
      <c r="JD25" s="19">
        <f t="shared" si="18"/>
        <v>11</v>
      </c>
      <c r="JE25" s="20">
        <v>0</v>
      </c>
      <c r="JF25" s="21" t="s">
        <v>41</v>
      </c>
      <c r="JG25" s="22" t="s">
        <v>36</v>
      </c>
      <c r="JH25" s="21" t="s">
        <v>37</v>
      </c>
      <c r="JI25" s="23">
        <v>50</v>
      </c>
      <c r="JJ25" s="23" t="s">
        <v>293</v>
      </c>
      <c r="JK25" s="31">
        <f>12*10</f>
        <v>120</v>
      </c>
      <c r="JL25" s="32">
        <v>4800</v>
      </c>
      <c r="JM25" s="27"/>
      <c r="JN25" s="26" t="s">
        <v>282</v>
      </c>
      <c r="KG25" s="3"/>
      <c r="KH25" s="3"/>
      <c r="KI25" s="3"/>
      <c r="KJ25" s="38"/>
    </row>
    <row r="26" spans="60:298" ht="135" customHeight="1">
      <c r="BU26" s="35"/>
      <c r="BV26" s="35"/>
      <c r="BW26" s="35"/>
      <c r="BX26" s="35"/>
      <c r="BY26" s="35"/>
      <c r="BZ26" s="35"/>
      <c r="CA26" s="35"/>
      <c r="CB26" s="35"/>
      <c r="CC26" s="35"/>
      <c r="CK26" s="35"/>
      <c r="CL26" s="35"/>
      <c r="CM26" s="35"/>
      <c r="CN26" s="35"/>
      <c r="CW26" s="35"/>
      <c r="CX26" s="35"/>
      <c r="CY26" s="35"/>
      <c r="CZ26" s="35"/>
      <c r="DI26" s="35"/>
      <c r="DJ26" s="35"/>
      <c r="DK26" s="35"/>
      <c r="DL26" s="35"/>
      <c r="DU26" s="35"/>
      <c r="DV26" s="35"/>
      <c r="DW26" s="35"/>
      <c r="DX26" s="35"/>
      <c r="EG26" s="35"/>
      <c r="EH26" s="35"/>
      <c r="EI26" s="35"/>
      <c r="EJ26" s="35"/>
      <c r="ES26" s="35"/>
      <c r="ET26" s="35"/>
      <c r="EU26" s="35"/>
      <c r="EV26" s="35"/>
      <c r="FE26" s="35"/>
      <c r="FF26" s="35"/>
      <c r="FG26" s="35"/>
      <c r="FH26" s="35"/>
      <c r="FQ26" s="3"/>
      <c r="FR26" s="3"/>
      <c r="FS26" s="3"/>
      <c r="FT26" s="38"/>
      <c r="GC26" s="35"/>
      <c r="GD26" s="35"/>
      <c r="GE26" s="35"/>
      <c r="GF26" s="35"/>
      <c r="GV26" s="19">
        <f t="shared" si="9"/>
        <v>20</v>
      </c>
      <c r="GW26" s="20">
        <v>0</v>
      </c>
      <c r="GX26" s="21" t="s">
        <v>41</v>
      </c>
      <c r="GY26" s="22" t="s">
        <v>36</v>
      </c>
      <c r="GZ26" s="21" t="s">
        <v>37</v>
      </c>
      <c r="HA26" s="23">
        <v>25</v>
      </c>
      <c r="HB26" s="23" t="s">
        <v>293</v>
      </c>
      <c r="HC26" s="24" t="s">
        <v>38</v>
      </c>
      <c r="HD26" s="28">
        <v>750</v>
      </c>
      <c r="HE26" s="27"/>
      <c r="HF26" s="26" t="s">
        <v>283</v>
      </c>
      <c r="HM26" s="3"/>
      <c r="HN26" s="3"/>
      <c r="HO26" s="3"/>
      <c r="HP26" s="38"/>
      <c r="HY26" s="3"/>
      <c r="HZ26" s="3"/>
      <c r="IA26" s="3"/>
      <c r="IB26" s="38"/>
      <c r="IK26" s="3"/>
      <c r="IL26" s="3"/>
      <c r="IM26" s="3"/>
      <c r="IN26" s="3"/>
      <c r="JD26" s="19">
        <f t="shared" si="18"/>
        <v>12</v>
      </c>
      <c r="JE26" s="20">
        <v>0</v>
      </c>
      <c r="JF26" s="21" t="s">
        <v>41</v>
      </c>
      <c r="JG26" s="22" t="s">
        <v>36</v>
      </c>
      <c r="JH26" s="21" t="s">
        <v>37</v>
      </c>
      <c r="JI26" s="23">
        <v>450</v>
      </c>
      <c r="JJ26" s="23" t="s">
        <v>293</v>
      </c>
      <c r="JK26" s="24" t="s">
        <v>38</v>
      </c>
      <c r="JL26" s="32">
        <v>350</v>
      </c>
      <c r="JM26" s="27"/>
      <c r="JN26" s="26" t="s">
        <v>284</v>
      </c>
      <c r="KG26" s="3"/>
      <c r="KH26" s="3"/>
      <c r="KI26" s="3"/>
      <c r="KJ26" s="38"/>
    </row>
    <row r="27" spans="60:298" ht="135" customHeight="1">
      <c r="BU27" s="35"/>
      <c r="BV27" s="35"/>
      <c r="BW27" s="35"/>
      <c r="BX27" s="35"/>
      <c r="BY27" s="35"/>
      <c r="BZ27" s="35"/>
      <c r="CA27" s="35"/>
      <c r="CB27" s="35"/>
      <c r="CC27" s="35"/>
      <c r="CK27" s="35"/>
      <c r="CL27" s="35"/>
      <c r="CM27" s="35"/>
      <c r="CN27" s="35"/>
      <c r="CW27" s="35"/>
      <c r="CX27" s="35"/>
      <c r="CY27" s="35"/>
      <c r="CZ27" s="35"/>
      <c r="DI27" s="35"/>
      <c r="DJ27" s="35"/>
      <c r="DK27" s="35"/>
      <c r="DL27" s="35"/>
      <c r="DU27" s="35"/>
      <c r="DV27" s="35"/>
      <c r="DW27" s="35"/>
      <c r="DX27" s="35"/>
      <c r="EG27" s="35"/>
      <c r="EH27" s="35"/>
      <c r="EI27" s="35"/>
      <c r="EJ27" s="35"/>
      <c r="ES27" s="35"/>
      <c r="ET27" s="35"/>
      <c r="EU27" s="35"/>
      <c r="EV27" s="35"/>
      <c r="FE27" s="35"/>
      <c r="FF27" s="35"/>
      <c r="FG27" s="35"/>
      <c r="FH27" s="35"/>
      <c r="FQ27" s="3"/>
      <c r="FR27" s="3"/>
      <c r="FS27" s="3"/>
      <c r="FT27" s="38"/>
      <c r="GC27" s="35"/>
      <c r="GD27" s="35"/>
      <c r="GE27" s="35"/>
      <c r="GF27" s="35"/>
      <c r="GO27" s="35"/>
      <c r="GP27" s="35"/>
      <c r="GQ27" s="35"/>
      <c r="GR27" s="43"/>
      <c r="GV27" s="19">
        <f t="shared" si="9"/>
        <v>21</v>
      </c>
      <c r="GW27" s="20">
        <v>0</v>
      </c>
      <c r="GX27" s="21" t="s">
        <v>41</v>
      </c>
      <c r="GY27" s="22" t="s">
        <v>36</v>
      </c>
      <c r="GZ27" s="21" t="s">
        <v>37</v>
      </c>
      <c r="HA27" s="23">
        <v>100</v>
      </c>
      <c r="HB27" s="23" t="s">
        <v>293</v>
      </c>
      <c r="HC27" s="31">
        <f>20*25</f>
        <v>500</v>
      </c>
      <c r="HD27" s="32">
        <v>4800</v>
      </c>
      <c r="HE27" s="27"/>
      <c r="HF27" s="26" t="s">
        <v>285</v>
      </c>
      <c r="HM27" s="3"/>
      <c r="HN27" s="3"/>
      <c r="HO27" s="3"/>
      <c r="HP27" s="38"/>
      <c r="HY27" s="3"/>
      <c r="HZ27" s="3"/>
      <c r="IA27" s="3"/>
      <c r="IB27" s="38"/>
      <c r="IK27" s="3"/>
      <c r="IL27" s="3"/>
      <c r="IM27" s="3"/>
      <c r="IN27" s="3"/>
      <c r="JD27" s="19">
        <f t="shared" si="18"/>
        <v>13</v>
      </c>
      <c r="JE27" s="20">
        <v>0</v>
      </c>
      <c r="JF27" s="21" t="s">
        <v>41</v>
      </c>
      <c r="JG27" s="22" t="s">
        <v>36</v>
      </c>
      <c r="JH27" s="21" t="s">
        <v>37</v>
      </c>
      <c r="JI27" s="23">
        <v>65</v>
      </c>
      <c r="JJ27" s="23" t="s">
        <v>293</v>
      </c>
      <c r="JK27" s="31">
        <f>36*20</f>
        <v>720</v>
      </c>
      <c r="JL27" s="28">
        <v>800</v>
      </c>
      <c r="JM27" s="27"/>
      <c r="JN27" s="26" t="s">
        <v>286</v>
      </c>
      <c r="KG27" s="3"/>
      <c r="KH27" s="3"/>
      <c r="KI27" s="3"/>
      <c r="KJ27" s="38"/>
    </row>
    <row r="28" spans="60:298" ht="135" customHeight="1">
      <c r="BU28" s="35"/>
      <c r="BV28" s="35"/>
      <c r="BW28" s="35"/>
      <c r="BX28" s="35"/>
      <c r="BY28" s="35"/>
      <c r="BZ28" s="35"/>
      <c r="CA28" s="35"/>
      <c r="CB28" s="35"/>
      <c r="CC28" s="35"/>
      <c r="CK28" s="35"/>
      <c r="CL28" s="35"/>
      <c r="CM28" s="35"/>
      <c r="CN28" s="35"/>
      <c r="CW28" s="35"/>
      <c r="CX28" s="35"/>
      <c r="CY28" s="35"/>
      <c r="CZ28" s="35"/>
      <c r="DI28" s="35"/>
      <c r="DJ28" s="35"/>
      <c r="DK28" s="35"/>
      <c r="DL28" s="35"/>
      <c r="DU28" s="35"/>
      <c r="DV28" s="35"/>
      <c r="DW28" s="35"/>
      <c r="DX28" s="35"/>
      <c r="EG28" s="35"/>
      <c r="EH28" s="35"/>
      <c r="EI28" s="35"/>
      <c r="EJ28" s="35"/>
      <c r="ES28" s="35"/>
      <c r="ET28" s="35"/>
      <c r="EU28" s="35"/>
      <c r="EV28" s="35"/>
      <c r="FE28" s="35"/>
      <c r="FF28" s="35"/>
      <c r="FG28" s="35"/>
      <c r="FH28" s="35"/>
      <c r="FQ28" s="3"/>
      <c r="FR28" s="3"/>
      <c r="FS28" s="3"/>
      <c r="FT28" s="38"/>
      <c r="GC28" s="35"/>
      <c r="GD28" s="35"/>
      <c r="GE28" s="35"/>
      <c r="GF28" s="35"/>
      <c r="GO28" s="35"/>
      <c r="GP28" s="35"/>
      <c r="GQ28" s="35"/>
      <c r="GR28" s="43"/>
      <c r="GV28" s="19">
        <f t="shared" si="9"/>
        <v>22</v>
      </c>
      <c r="GW28" s="20">
        <v>0</v>
      </c>
      <c r="GX28" s="21" t="s">
        <v>41</v>
      </c>
      <c r="GY28" s="22" t="s">
        <v>36</v>
      </c>
      <c r="GZ28" s="21" t="s">
        <v>37</v>
      </c>
      <c r="HA28" s="23">
        <v>950</v>
      </c>
      <c r="HB28" s="23" t="s">
        <v>293</v>
      </c>
      <c r="HC28" s="31">
        <f>80*25</f>
        <v>2000</v>
      </c>
      <c r="HD28" s="32">
        <v>1200</v>
      </c>
      <c r="HE28" s="27"/>
      <c r="HF28" s="26" t="s">
        <v>287</v>
      </c>
      <c r="HM28" s="3"/>
      <c r="HN28" s="3"/>
      <c r="HO28" s="3"/>
      <c r="HP28" s="38"/>
      <c r="HY28" s="3"/>
      <c r="HZ28" s="3"/>
      <c r="IA28" s="3"/>
      <c r="IB28" s="38"/>
      <c r="IK28" s="3"/>
      <c r="IL28" s="3"/>
      <c r="IM28" s="3"/>
      <c r="IN28" s="3"/>
      <c r="JD28" s="19">
        <f t="shared" si="18"/>
        <v>14</v>
      </c>
      <c r="JE28" s="20">
        <v>0</v>
      </c>
      <c r="JF28" s="21" t="s">
        <v>41</v>
      </c>
      <c r="JG28" s="22" t="s">
        <v>36</v>
      </c>
      <c r="JH28" s="21" t="s">
        <v>37</v>
      </c>
      <c r="JI28" s="23">
        <v>650</v>
      </c>
      <c r="JJ28" s="23" t="s">
        <v>293</v>
      </c>
      <c r="JK28" s="24" t="s">
        <v>38</v>
      </c>
      <c r="JL28" s="32">
        <v>350</v>
      </c>
      <c r="JM28" s="27"/>
      <c r="JN28" s="26" t="s">
        <v>288</v>
      </c>
      <c r="JU28" s="3"/>
      <c r="JV28" s="3"/>
      <c r="JW28" s="3"/>
      <c r="JX28" s="38"/>
      <c r="JZ28" s="39"/>
      <c r="KG28" s="3"/>
      <c r="KH28" s="3"/>
      <c r="KI28" s="3"/>
      <c r="KJ28" s="38"/>
    </row>
    <row r="29" spans="60:298" ht="135" customHeight="1">
      <c r="BU29" s="35"/>
      <c r="BV29" s="35"/>
      <c r="BW29" s="35"/>
      <c r="BX29" s="35"/>
      <c r="BY29" s="35"/>
      <c r="BZ29" s="35"/>
      <c r="CA29" s="35"/>
      <c r="CB29" s="35"/>
      <c r="CC29" s="35"/>
      <c r="CK29" s="35"/>
      <c r="CL29" s="35"/>
      <c r="CM29" s="35"/>
      <c r="CN29" s="35"/>
      <c r="CW29" s="35"/>
      <c r="CX29" s="35"/>
      <c r="CY29" s="35"/>
      <c r="CZ29" s="35"/>
      <c r="DI29" s="35"/>
      <c r="DJ29" s="35"/>
      <c r="DK29" s="35"/>
      <c r="DL29" s="35"/>
      <c r="DU29" s="35"/>
      <c r="DV29" s="35"/>
      <c r="DW29" s="35"/>
      <c r="DX29" s="35"/>
      <c r="EG29" s="35"/>
      <c r="EH29" s="35"/>
      <c r="EI29" s="35"/>
      <c r="EJ29" s="35"/>
      <c r="ES29" s="35"/>
      <c r="ET29" s="35"/>
      <c r="EU29" s="35"/>
      <c r="EV29" s="35"/>
      <c r="FE29" s="35"/>
      <c r="FF29" s="35"/>
      <c r="FG29" s="35"/>
      <c r="FH29" s="35"/>
      <c r="FQ29" s="3"/>
      <c r="FR29" s="3"/>
      <c r="FS29" s="3"/>
      <c r="FT29" s="38"/>
      <c r="GC29" s="35"/>
      <c r="GD29" s="35"/>
      <c r="GE29" s="35"/>
      <c r="GF29" s="35"/>
      <c r="GO29" s="35"/>
      <c r="GP29" s="35"/>
      <c r="GQ29" s="35"/>
      <c r="GR29" s="43"/>
      <c r="GV29" s="19">
        <f t="shared" si="9"/>
        <v>23</v>
      </c>
      <c r="GW29" s="20">
        <v>0</v>
      </c>
      <c r="GX29" s="21" t="s">
        <v>35</v>
      </c>
      <c r="GY29" s="22" t="s">
        <v>36</v>
      </c>
      <c r="GZ29" s="21" t="s">
        <v>54</v>
      </c>
      <c r="HA29" s="23">
        <v>1200</v>
      </c>
      <c r="HB29" s="23" t="s">
        <v>289</v>
      </c>
      <c r="HC29" s="31">
        <f>96*18</f>
        <v>1728</v>
      </c>
      <c r="HD29" s="32">
        <v>500</v>
      </c>
      <c r="HE29" s="27"/>
      <c r="HF29" s="26" t="s">
        <v>290</v>
      </c>
      <c r="HM29" s="3"/>
      <c r="HN29" s="3"/>
      <c r="HO29" s="3"/>
      <c r="HP29" s="38"/>
      <c r="HY29" s="3"/>
      <c r="HZ29" s="3"/>
      <c r="IA29" s="3"/>
      <c r="IB29" s="38"/>
      <c r="IK29" s="3"/>
      <c r="IL29" s="3"/>
      <c r="IM29" s="3"/>
      <c r="IN29" s="3"/>
      <c r="IW29" s="3"/>
      <c r="IX29" s="3"/>
      <c r="IY29" s="3"/>
      <c r="IZ29" s="3"/>
      <c r="JD29" s="19">
        <f t="shared" si="18"/>
        <v>15</v>
      </c>
      <c r="JE29" s="20">
        <v>0</v>
      </c>
      <c r="JF29" s="21" t="s">
        <v>41</v>
      </c>
      <c r="JG29" s="22" t="s">
        <v>36</v>
      </c>
      <c r="JH29" s="21" t="s">
        <v>37</v>
      </c>
      <c r="JI29" s="23">
        <v>65</v>
      </c>
      <c r="JJ29" s="23" t="s">
        <v>293</v>
      </c>
      <c r="JK29" s="31">
        <f>12*20</f>
        <v>240</v>
      </c>
      <c r="JL29" s="28">
        <v>2400</v>
      </c>
      <c r="JM29" s="27"/>
      <c r="JN29" s="26" t="s">
        <v>291</v>
      </c>
      <c r="JU29" s="3"/>
      <c r="JV29" s="3"/>
      <c r="JW29" s="3"/>
      <c r="JX29" s="38"/>
      <c r="JZ29" s="39"/>
      <c r="KG29" s="3"/>
      <c r="KH29" s="3"/>
      <c r="KI29" s="3"/>
      <c r="KJ29" s="38"/>
    </row>
    <row r="30" spans="60:298" ht="135" customHeight="1">
      <c r="BU30" s="35"/>
      <c r="BV30" s="35"/>
      <c r="BW30" s="35"/>
      <c r="BX30" s="35"/>
      <c r="BY30" s="35"/>
      <c r="BZ30" s="35"/>
      <c r="CA30" s="35"/>
      <c r="CB30" s="35"/>
      <c r="CC30" s="35"/>
      <c r="CK30" s="35"/>
      <c r="CL30" s="35"/>
      <c r="CM30" s="35"/>
      <c r="CN30" s="35"/>
      <c r="CW30" s="35"/>
      <c r="CX30" s="35"/>
      <c r="CY30" s="35"/>
      <c r="CZ30" s="35"/>
      <c r="DI30" s="35"/>
      <c r="DJ30" s="35"/>
      <c r="DK30" s="35"/>
      <c r="DL30" s="35"/>
      <c r="DU30" s="35"/>
      <c r="DV30" s="35"/>
      <c r="DW30" s="35"/>
      <c r="DX30" s="35"/>
      <c r="EG30" s="35"/>
      <c r="EH30" s="35"/>
      <c r="EI30" s="35"/>
      <c r="EJ30" s="35"/>
      <c r="ES30" s="35"/>
      <c r="ET30" s="35"/>
      <c r="EU30" s="35"/>
      <c r="EV30" s="35"/>
      <c r="FE30" s="35"/>
      <c r="FF30" s="35"/>
      <c r="FG30" s="35"/>
      <c r="FH30" s="35"/>
      <c r="FQ30" s="3"/>
      <c r="FR30" s="3"/>
      <c r="FS30" s="3"/>
      <c r="FT30" s="38"/>
      <c r="GC30" s="35"/>
      <c r="GD30" s="35"/>
      <c r="GE30" s="35"/>
      <c r="GF30" s="35"/>
      <c r="GO30" s="35"/>
      <c r="GP30" s="35"/>
      <c r="GQ30" s="35"/>
      <c r="GR30" s="43"/>
      <c r="HA30" s="35"/>
      <c r="HB30" s="35"/>
      <c r="HC30" s="35"/>
      <c r="HD30" s="43"/>
      <c r="HM30" s="3"/>
      <c r="HN30" s="3"/>
      <c r="HO30" s="3"/>
      <c r="HP30" s="38"/>
      <c r="HY30" s="3"/>
      <c r="HZ30" s="3"/>
      <c r="IA30" s="3"/>
      <c r="IB30" s="38"/>
      <c r="IK30" s="3"/>
      <c r="IL30" s="3"/>
      <c r="IM30" s="3"/>
      <c r="IN30" s="3"/>
      <c r="IW30" s="3"/>
      <c r="IX30" s="3"/>
      <c r="IY30" s="3"/>
      <c r="IZ30" s="3"/>
      <c r="JD30" s="19">
        <f t="shared" si="18"/>
        <v>16</v>
      </c>
      <c r="JE30" s="20">
        <v>0</v>
      </c>
      <c r="JF30" s="21" t="s">
        <v>41</v>
      </c>
      <c r="JG30" s="22" t="s">
        <v>36</v>
      </c>
      <c r="JH30" s="21" t="s">
        <v>37</v>
      </c>
      <c r="JI30" s="23">
        <v>500</v>
      </c>
      <c r="JJ30" s="23" t="s">
        <v>293</v>
      </c>
      <c r="JK30" s="24" t="s">
        <v>38</v>
      </c>
      <c r="JL30" s="32">
        <v>350</v>
      </c>
      <c r="JM30" s="27"/>
      <c r="JN30" s="26" t="s">
        <v>292</v>
      </c>
      <c r="JU30" s="3"/>
      <c r="JV30" s="3"/>
      <c r="JW30" s="3"/>
      <c r="JX30" s="38"/>
      <c r="JZ30" s="39"/>
      <c r="KG30" s="3"/>
      <c r="KH30" s="3"/>
      <c r="KI30" s="3"/>
      <c r="KJ30" s="38"/>
    </row>
  </sheetData>
  <mergeCells count="108">
    <mergeCell ref="KB1:KL3"/>
    <mergeCell ref="C2:F2"/>
    <mergeCell ref="G2:H2"/>
    <mergeCell ref="I2:J2"/>
    <mergeCell ref="D3:F3"/>
    <mergeCell ref="G3:J3"/>
    <mergeCell ref="FX1:GH3"/>
    <mergeCell ref="GJ1:GT3"/>
    <mergeCell ref="GV1:HF3"/>
    <mergeCell ref="HH1:HR3"/>
    <mergeCell ref="HT1:ID3"/>
    <mergeCell ref="IF1:IP3"/>
    <mergeCell ref="DD1:DN3"/>
    <mergeCell ref="DP1:DZ3"/>
    <mergeCell ref="EB1:EL3"/>
    <mergeCell ref="EN1:EX3"/>
    <mergeCell ref="EZ1:FJ3"/>
    <mergeCell ref="FL1:FV3"/>
    <mergeCell ref="AJ1:AT3"/>
    <mergeCell ref="AV1:BF3"/>
    <mergeCell ref="BH1:BR3"/>
    <mergeCell ref="BT1:CD3"/>
    <mergeCell ref="CF1:CP3"/>
    <mergeCell ref="CR1:DB3"/>
    <mergeCell ref="A4:J4"/>
    <mergeCell ref="L4:V4"/>
    <mergeCell ref="X4:AH4"/>
    <mergeCell ref="AJ4:AT4"/>
    <mergeCell ref="AV4:BF4"/>
    <mergeCell ref="BH4:BR4"/>
    <mergeCell ref="IR1:JB3"/>
    <mergeCell ref="JD1:JN3"/>
    <mergeCell ref="JP1:JZ3"/>
    <mergeCell ref="A1:B2"/>
    <mergeCell ref="C1:F1"/>
    <mergeCell ref="G1:H1"/>
    <mergeCell ref="I1:J1"/>
    <mergeCell ref="L1:V3"/>
    <mergeCell ref="X1:AH3"/>
    <mergeCell ref="FL4:FV4"/>
    <mergeCell ref="FX4:GH4"/>
    <mergeCell ref="GJ4:GT4"/>
    <mergeCell ref="GV4:HF4"/>
    <mergeCell ref="BT4:CD4"/>
    <mergeCell ref="CF4:CP4"/>
    <mergeCell ref="CR4:DB4"/>
    <mergeCell ref="DD4:DN4"/>
    <mergeCell ref="DP4:DZ4"/>
    <mergeCell ref="EB4:EL4"/>
    <mergeCell ref="AZ5:AZ6"/>
    <mergeCell ref="BK5:BK6"/>
    <mergeCell ref="BL5:BL6"/>
    <mergeCell ref="BW5:BW6"/>
    <mergeCell ref="BX5:BX6"/>
    <mergeCell ref="CI5:CI6"/>
    <mergeCell ref="KB4:KL4"/>
    <mergeCell ref="D5:D6"/>
    <mergeCell ref="E5:E6"/>
    <mergeCell ref="O5:O6"/>
    <mergeCell ref="P5:P6"/>
    <mergeCell ref="AA5:AA6"/>
    <mergeCell ref="AB5:AB6"/>
    <mergeCell ref="AM5:AM6"/>
    <mergeCell ref="AN5:AN6"/>
    <mergeCell ref="AY5:AY6"/>
    <mergeCell ref="HH4:HR4"/>
    <mergeCell ref="HT4:ID4"/>
    <mergeCell ref="IF4:IP4"/>
    <mergeCell ref="IR4:JB4"/>
    <mergeCell ref="JD4:JN4"/>
    <mergeCell ref="JP4:JZ4"/>
    <mergeCell ref="EN4:EX4"/>
    <mergeCell ref="EZ4:FJ4"/>
    <mergeCell ref="DT5:DT6"/>
    <mergeCell ref="EE5:EE6"/>
    <mergeCell ref="EF5:EF6"/>
    <mergeCell ref="EQ5:EQ6"/>
    <mergeCell ref="ER5:ER6"/>
    <mergeCell ref="FC5:FC6"/>
    <mergeCell ref="CJ5:CJ6"/>
    <mergeCell ref="CU5:CU6"/>
    <mergeCell ref="CV5:CV6"/>
    <mergeCell ref="DG5:DG6"/>
    <mergeCell ref="DH5:DH6"/>
    <mergeCell ref="DS5:DS6"/>
    <mergeCell ref="GN5:GN6"/>
    <mergeCell ref="GY5:GY6"/>
    <mergeCell ref="GZ5:GZ6"/>
    <mergeCell ref="HK5:HK6"/>
    <mergeCell ref="HL5:HL6"/>
    <mergeCell ref="HW5:HW6"/>
    <mergeCell ref="FD5:FD6"/>
    <mergeCell ref="FO5:FO6"/>
    <mergeCell ref="FP5:FP6"/>
    <mergeCell ref="GA5:GA6"/>
    <mergeCell ref="GB5:GB6"/>
    <mergeCell ref="GM5:GM6"/>
    <mergeCell ref="JH5:JH6"/>
    <mergeCell ref="JS5:JS6"/>
    <mergeCell ref="JT5:JT6"/>
    <mergeCell ref="KE5:KE6"/>
    <mergeCell ref="KF5:KF6"/>
    <mergeCell ref="HX5:HX6"/>
    <mergeCell ref="II5:II6"/>
    <mergeCell ref="IJ5:IJ6"/>
    <mergeCell ref="IU5:IU6"/>
    <mergeCell ref="IV5:IV6"/>
    <mergeCell ref="JG5:JG6"/>
  </mergeCells>
  <phoneticPr fontId="24" type="noConversion"/>
  <conditionalFormatting sqref="A4">
    <cfRule type="containsText" dxfId="72" priority="84" operator="containsText" text="Complete Set">
      <formula>NOT(ISERROR(SEARCH("Complete Set",A4)))</formula>
    </cfRule>
  </conditionalFormatting>
  <conditionalFormatting sqref="A5">
    <cfRule type="colorScale" priority="86">
      <colorScale>
        <cfvo type="num" val="0"/>
        <cfvo type="num" val="500"/>
        <color rgb="FFFFFF00"/>
        <color rgb="FFFFFF00"/>
      </colorScale>
    </cfRule>
  </conditionalFormatting>
  <conditionalFormatting sqref="C2">
    <cfRule type="cellIs" dxfId="71" priority="85" operator="equal">
      <formula>0</formula>
    </cfRule>
  </conditionalFormatting>
  <conditionalFormatting sqref="C7:C9 BJ7:BJ23">
    <cfRule type="cellIs" dxfId="70" priority="76" operator="equal">
      <formula>"Hard Case"</formula>
    </cfRule>
  </conditionalFormatting>
  <conditionalFormatting sqref="G1:G2">
    <cfRule type="cellIs" dxfId="69" priority="1" operator="equal">
      <formula>0</formula>
    </cfRule>
  </conditionalFormatting>
  <conditionalFormatting sqref="I1:I2">
    <cfRule type="cellIs" dxfId="68" priority="82" operator="equal">
      <formula>0</formula>
    </cfRule>
  </conditionalFormatting>
  <conditionalFormatting sqref="L5">
    <cfRule type="colorScale" priority="18">
      <colorScale>
        <cfvo type="num" val="0"/>
        <cfvo type="num" val="500"/>
        <color rgb="FFFFFF00"/>
        <color rgb="FFFFFF00"/>
      </colorScale>
    </cfRule>
  </conditionalFormatting>
  <conditionalFormatting sqref="L1:P3 X1:AB3 AJ1:AN3 AV1:AZ3 BH1:BL3 BT1:BX3 CF1:CJ3 CR1:CV3 DD1:DH3 DP1:DT3 EB1:EF3 EN1:ER3 L4 X4 AJ4 AV4 BH4 BT4 CF4 CR4 DD4 DP4 EB4 EN4">
    <cfRule type="containsText" dxfId="67" priority="87" operator="containsText" text="Complete Set">
      <formula>NOT(ISERROR(SEARCH("Complete Set",L1)))</formula>
    </cfRule>
  </conditionalFormatting>
  <conditionalFormatting sqref="M9:P9">
    <cfRule type="cellIs" dxfId="66" priority="103" operator="equal">
      <formula>1</formula>
    </cfRule>
  </conditionalFormatting>
  <conditionalFormatting sqref="M7:T8">
    <cfRule type="cellIs" dxfId="65" priority="73" operator="equal">
      <formula>1</formula>
    </cfRule>
  </conditionalFormatting>
  <conditionalFormatting sqref="N7:N8">
    <cfRule type="cellIs" dxfId="64" priority="74" operator="equal">
      <formula>"Hard Case"</formula>
    </cfRule>
  </conditionalFormatting>
  <conditionalFormatting sqref="U1:V3 AG1:AH3 AS1:AT3 BE1:BF3 BQ1:BR3 CC1:CD3 CO1:CP3 DA1:DB3 DM1:DN3 DY1:DZ3 EK1:EL3 EW1:EX3 FI1:FJ3 FU1:FV3 GG1:GH3 GS1:GT3 HE1:HF3 HQ1:HR3 IC1:ID3 IO1:IP3 JA1:JB3 JM1:JN3 JY1:JZ3 KK1:KL3 KW1:KX4">
    <cfRule type="containsText" dxfId="63" priority="97" operator="containsText" text="Complete Set">
      <formula>NOT(ISERROR(SEARCH("Complete Set",U1)))</formula>
    </cfRule>
  </conditionalFormatting>
  <conditionalFormatting sqref="X5">
    <cfRule type="colorScale" priority="19">
      <colorScale>
        <cfvo type="num" val="0"/>
        <cfvo type="num" val="500"/>
        <color rgb="FFFFFF00"/>
        <color rgb="FFFFFF00"/>
      </colorScale>
    </cfRule>
  </conditionalFormatting>
  <conditionalFormatting sqref="Y7:AF16">
    <cfRule type="cellIs" dxfId="62" priority="71" operator="equal">
      <formula>1</formula>
    </cfRule>
  </conditionalFormatting>
  <conditionalFormatting sqref="Z7:Z16">
    <cfRule type="cellIs" dxfId="61" priority="72" operator="equal">
      <formula>"Hard Case"</formula>
    </cfRule>
  </conditionalFormatting>
  <conditionalFormatting sqref="AJ5">
    <cfRule type="colorScale" priority="20">
      <colorScale>
        <cfvo type="num" val="0"/>
        <cfvo type="num" val="500"/>
        <color rgb="FFFFFF00"/>
        <color rgb="FFFFFF00"/>
      </colorScale>
    </cfRule>
  </conditionalFormatting>
  <conditionalFormatting sqref="AK7:AR12">
    <cfRule type="cellIs" dxfId="60" priority="69" operator="equal">
      <formula>1</formula>
    </cfRule>
  </conditionalFormatting>
  <conditionalFormatting sqref="AL7:AL12">
    <cfRule type="cellIs" dxfId="59" priority="70" operator="equal">
      <formula>"Hard Case"</formula>
    </cfRule>
  </conditionalFormatting>
  <conditionalFormatting sqref="AV5">
    <cfRule type="colorScale" priority="21">
      <colorScale>
        <cfvo type="num" val="0"/>
        <cfvo type="num" val="500"/>
        <color rgb="FFFFFF00"/>
        <color rgb="FFFFFF00"/>
      </colorScale>
    </cfRule>
  </conditionalFormatting>
  <conditionalFormatting sqref="AW7:BD16">
    <cfRule type="cellIs" dxfId="58" priority="66" operator="equal">
      <formula>1</formula>
    </cfRule>
  </conditionalFormatting>
  <conditionalFormatting sqref="AX7:AX16">
    <cfRule type="cellIs" dxfId="57" priority="68" operator="equal">
      <formula>"Hard Case"</formula>
    </cfRule>
  </conditionalFormatting>
  <conditionalFormatting sqref="BH5">
    <cfRule type="colorScale" priority="22">
      <colorScale>
        <cfvo type="num" val="0"/>
        <cfvo type="num" val="500"/>
        <color rgb="FFFFFF00"/>
        <color rgb="FFFFFF00"/>
      </colorScale>
    </cfRule>
  </conditionalFormatting>
  <conditionalFormatting sqref="BI7:BQ7 B7:H9 BI8:BP11 BU9:CC17 BI12:BQ15 BI16:BP22 BI23:BO23 BU23:CC31">
    <cfRule type="cellIs" dxfId="56" priority="75" operator="equal">
      <formula>1</formula>
    </cfRule>
  </conditionalFormatting>
  <conditionalFormatting sqref="BT5">
    <cfRule type="colorScale" priority="23">
      <colorScale>
        <cfvo type="num" val="0"/>
        <cfvo type="num" val="500"/>
        <color rgb="FFFFFF00"/>
        <color rgb="FFFFFF00"/>
      </colorScale>
    </cfRule>
  </conditionalFormatting>
  <conditionalFormatting sqref="BU7:CB8">
    <cfRule type="cellIs" dxfId="55" priority="62" operator="equal">
      <formula>1</formula>
    </cfRule>
  </conditionalFormatting>
  <conditionalFormatting sqref="BV7:BV8">
    <cfRule type="cellIs" dxfId="54" priority="64" operator="equal">
      <formula>"Hard Case"</formula>
    </cfRule>
  </conditionalFormatting>
  <conditionalFormatting sqref="CF5">
    <cfRule type="colorScale" priority="24">
      <colorScale>
        <cfvo type="num" val="0"/>
        <cfvo type="num" val="500"/>
        <color rgb="FFFFFF00"/>
        <color rgb="FFFFFF00"/>
      </colorScale>
    </cfRule>
  </conditionalFormatting>
  <conditionalFormatting sqref="CG9:CJ10">
    <cfRule type="cellIs" dxfId="53" priority="78" operator="equal">
      <formula>1</formula>
    </cfRule>
  </conditionalFormatting>
  <conditionalFormatting sqref="CG7:CN8">
    <cfRule type="cellIs" dxfId="52" priority="61" operator="equal">
      <formula>1</formula>
    </cfRule>
  </conditionalFormatting>
  <conditionalFormatting sqref="CH7:CH8">
    <cfRule type="cellIs" dxfId="51" priority="63" operator="equal">
      <formula>"Hard Case"</formula>
    </cfRule>
  </conditionalFormatting>
  <conditionalFormatting sqref="CK9:CN31">
    <cfRule type="cellIs" dxfId="50" priority="83" operator="equal">
      <formula>1</formula>
    </cfRule>
  </conditionalFormatting>
  <conditionalFormatting sqref="CR5">
    <cfRule type="colorScale" priority="25">
      <colorScale>
        <cfvo type="num" val="0"/>
        <cfvo type="num" val="500"/>
        <color rgb="FFFFFF00"/>
        <color rgb="FFFFFF00"/>
      </colorScale>
    </cfRule>
  </conditionalFormatting>
  <conditionalFormatting sqref="CS9:CV10">
    <cfRule type="cellIs" dxfId="49" priority="101" operator="equal">
      <formula>1</formula>
    </cfRule>
  </conditionalFormatting>
  <conditionalFormatting sqref="CS7:CZ7">
    <cfRule type="cellIs" dxfId="48" priority="58" operator="equal">
      <formula>1</formula>
    </cfRule>
  </conditionalFormatting>
  <conditionalFormatting sqref="CT7">
    <cfRule type="cellIs" dxfId="47" priority="60" operator="equal">
      <formula>"Hard Case"</formula>
    </cfRule>
  </conditionalFormatting>
  <conditionalFormatting sqref="CW9:CZ31">
    <cfRule type="cellIs" dxfId="46" priority="94" operator="equal">
      <formula>1</formula>
    </cfRule>
  </conditionalFormatting>
  <conditionalFormatting sqref="DD5">
    <cfRule type="colorScale" priority="15">
      <colorScale>
        <cfvo type="num" val="0"/>
        <cfvo type="num" val="500"/>
        <color rgb="FFFFFF00"/>
        <color rgb="FFFFFF00"/>
      </colorScale>
    </cfRule>
  </conditionalFormatting>
  <conditionalFormatting sqref="DE7:DL9">
    <cfRule type="cellIs" dxfId="45" priority="57" operator="equal">
      <formula>1</formula>
    </cfRule>
  </conditionalFormatting>
  <conditionalFormatting sqref="DF7:DF9">
    <cfRule type="cellIs" dxfId="44" priority="59" operator="equal">
      <formula>"Hard Case"</formula>
    </cfRule>
  </conditionalFormatting>
  <conditionalFormatting sqref="DP5">
    <cfRule type="colorScale" priority="16">
      <colorScale>
        <cfvo type="num" val="0"/>
        <cfvo type="num" val="500"/>
        <color rgb="FFFFFF00"/>
        <color rgb="FFFFFF00"/>
      </colorScale>
    </cfRule>
  </conditionalFormatting>
  <conditionalFormatting sqref="DQ7:DT18">
    <cfRule type="cellIs" dxfId="43" priority="56" operator="equal">
      <formula>1</formula>
    </cfRule>
  </conditionalFormatting>
  <conditionalFormatting sqref="DR7:DR18">
    <cfRule type="cellIs" dxfId="42" priority="55" operator="equal">
      <formula>"Hard Case"</formula>
    </cfRule>
  </conditionalFormatting>
  <conditionalFormatting sqref="DU7:DX31">
    <cfRule type="cellIs" dxfId="41" priority="53" operator="equal">
      <formula>1</formula>
    </cfRule>
  </conditionalFormatting>
  <conditionalFormatting sqref="EB5">
    <cfRule type="colorScale" priority="17">
      <colorScale>
        <cfvo type="num" val="0"/>
        <cfvo type="num" val="500"/>
        <color rgb="FFFFFF00"/>
        <color rgb="FFFFFF00"/>
      </colorScale>
    </cfRule>
  </conditionalFormatting>
  <conditionalFormatting sqref="EC7:EJ19">
    <cfRule type="cellIs" dxfId="40" priority="52" operator="equal">
      <formula>1</formula>
    </cfRule>
  </conditionalFormatting>
  <conditionalFormatting sqref="ED7:ED19">
    <cfRule type="cellIs" dxfId="39" priority="54" operator="equal">
      <formula>"Hard Case"</formula>
    </cfRule>
  </conditionalFormatting>
  <conditionalFormatting sqref="EN5">
    <cfRule type="colorScale" priority="12">
      <colorScale>
        <cfvo type="num" val="0"/>
        <cfvo type="num" val="500"/>
        <color rgb="FFFFFF00"/>
        <color rgb="FFFFFF00"/>
      </colorScale>
    </cfRule>
  </conditionalFormatting>
  <conditionalFormatting sqref="EO16:ER16 EO17 EQ17:ER17 EO18:ER19">
    <cfRule type="cellIs" dxfId="38" priority="100" operator="equal">
      <formula>1</formula>
    </cfRule>
  </conditionalFormatting>
  <conditionalFormatting sqref="EO7:EV15">
    <cfRule type="cellIs" dxfId="37" priority="50" operator="equal">
      <formula>1</formula>
    </cfRule>
  </conditionalFormatting>
  <conditionalFormatting sqref="EP7:EP15">
    <cfRule type="cellIs" dxfId="36" priority="51" operator="equal">
      <formula>"Hard Case"</formula>
    </cfRule>
  </conditionalFormatting>
  <conditionalFormatting sqref="ES26:EV31">
    <cfRule type="cellIs" dxfId="35" priority="93" operator="equal">
      <formula>1</formula>
    </cfRule>
  </conditionalFormatting>
  <conditionalFormatting sqref="EZ5">
    <cfRule type="colorScale" priority="13">
      <colorScale>
        <cfvo type="num" val="0"/>
        <cfvo type="num" val="500"/>
        <color rgb="FFFFFF00"/>
        <color rgb="FFFFFF00"/>
      </colorScale>
    </cfRule>
  </conditionalFormatting>
  <conditionalFormatting sqref="EZ1:FD3 FL1:FP3 FX1:GB3 GJ1:GN3 GV1:GZ3 HH1:HL3 HT1:HX3 IF1:IJ3 IR1:IV3 JD1:JH3 JP1:JT3 KB1:KF3 KT1:KU4 EZ4 FL4 FX4 GJ4 GV4 HH4 HT4 IF4 IR4 JD4 JP4 KB4">
    <cfRule type="containsText" dxfId="34" priority="91" operator="containsText" text="Complete Set">
      <formula>NOT(ISERROR(SEARCH("Complete Set",EZ1)))</formula>
    </cfRule>
  </conditionalFormatting>
  <conditionalFormatting sqref="FA7:FH8">
    <cfRule type="cellIs" dxfId="33" priority="47" operator="equal">
      <formula>1</formula>
    </cfRule>
  </conditionalFormatting>
  <conditionalFormatting sqref="FA10:FH10 FE12:FH31">
    <cfRule type="cellIs" dxfId="32" priority="96" operator="equal">
      <formula>1</formula>
    </cfRule>
  </conditionalFormatting>
  <conditionalFormatting sqref="FB7:FB8">
    <cfRule type="cellIs" dxfId="31" priority="49" operator="equal">
      <formula>"Hard Case"</formula>
    </cfRule>
  </conditionalFormatting>
  <conditionalFormatting sqref="FL5">
    <cfRule type="colorScale" priority="14">
      <colorScale>
        <cfvo type="num" val="0"/>
        <cfvo type="num" val="500"/>
        <color rgb="FFFFFF00"/>
        <color rgb="FFFFFF00"/>
      </colorScale>
    </cfRule>
  </conditionalFormatting>
  <conditionalFormatting sqref="FM7:FT25">
    <cfRule type="cellIs" dxfId="30" priority="46" operator="equal">
      <formula>1</formula>
    </cfRule>
  </conditionalFormatting>
  <conditionalFormatting sqref="FN7:FN25">
    <cfRule type="cellIs" dxfId="29" priority="48" operator="equal">
      <formula>"Hard Case"</formula>
    </cfRule>
  </conditionalFormatting>
  <conditionalFormatting sqref="FX5">
    <cfRule type="colorScale" priority="9">
      <colorScale>
        <cfvo type="num" val="0"/>
        <cfvo type="num" val="500"/>
        <color rgb="FFFFFF00"/>
        <color rgb="FFFFFF00"/>
      </colorScale>
    </cfRule>
  </conditionalFormatting>
  <conditionalFormatting sqref="FY7:GF23">
    <cfRule type="cellIs" dxfId="28" priority="42" operator="equal">
      <formula>1</formula>
    </cfRule>
  </conditionalFormatting>
  <conditionalFormatting sqref="FZ7:FZ23">
    <cfRule type="cellIs" dxfId="27" priority="45" operator="equal">
      <formula>"Hard Case"</formula>
    </cfRule>
  </conditionalFormatting>
  <conditionalFormatting sqref="GC24:GF31">
    <cfRule type="cellIs" dxfId="26" priority="81" operator="equal">
      <formula>1</formula>
    </cfRule>
  </conditionalFormatting>
  <conditionalFormatting sqref="GJ5">
    <cfRule type="colorScale" priority="10">
      <colorScale>
        <cfvo type="num" val="0"/>
        <cfvo type="num" val="500"/>
        <color rgb="FFFFFF00"/>
        <color rgb="FFFFFF00"/>
      </colorScale>
    </cfRule>
  </conditionalFormatting>
  <conditionalFormatting sqref="GK14:GN14">
    <cfRule type="cellIs" dxfId="25" priority="99" operator="equal">
      <formula>1</formula>
    </cfRule>
  </conditionalFormatting>
  <conditionalFormatting sqref="GK21:GN23">
    <cfRule type="cellIs" dxfId="24" priority="98" operator="equal">
      <formula>1</formula>
    </cfRule>
  </conditionalFormatting>
  <conditionalFormatting sqref="GK7:GR13">
    <cfRule type="cellIs" dxfId="23" priority="43" operator="equal">
      <formula>1</formula>
    </cfRule>
  </conditionalFormatting>
  <conditionalFormatting sqref="GL7:GL13">
    <cfRule type="cellIs" dxfId="22" priority="44" operator="equal">
      <formula>"Hard Case"</formula>
    </cfRule>
  </conditionalFormatting>
  <conditionalFormatting sqref="GO27:GR31">
    <cfRule type="cellIs" dxfId="21" priority="95" operator="equal">
      <formula>1</formula>
    </cfRule>
  </conditionalFormatting>
  <conditionalFormatting sqref="GV5">
    <cfRule type="colorScale" priority="11">
      <colorScale>
        <cfvo type="num" val="0"/>
        <cfvo type="num" val="500"/>
        <color rgb="FFFFFF00"/>
        <color rgb="FFFFFF00"/>
      </colorScale>
    </cfRule>
  </conditionalFormatting>
  <conditionalFormatting sqref="GW7:HD29">
    <cfRule type="cellIs" dxfId="20" priority="39" operator="equal">
      <formula>1</formula>
    </cfRule>
  </conditionalFormatting>
  <conditionalFormatting sqref="GX7:GX29">
    <cfRule type="cellIs" dxfId="19" priority="41" operator="equal">
      <formula>"Hard Case"</formula>
    </cfRule>
  </conditionalFormatting>
  <conditionalFormatting sqref="HA30:HD31">
    <cfRule type="cellIs" dxfId="18" priority="77" operator="equal">
      <formula>1</formula>
    </cfRule>
  </conditionalFormatting>
  <conditionalFormatting sqref="HH5">
    <cfRule type="colorScale" priority="6">
      <colorScale>
        <cfvo type="num" val="0"/>
        <cfvo type="num" val="500"/>
        <color rgb="FFFFFF00"/>
        <color rgb="FFFFFF00"/>
      </colorScale>
    </cfRule>
  </conditionalFormatting>
  <conditionalFormatting sqref="HI7:HP12">
    <cfRule type="cellIs" dxfId="17" priority="38" operator="equal">
      <formula>1</formula>
    </cfRule>
  </conditionalFormatting>
  <conditionalFormatting sqref="HJ7:HJ12">
    <cfRule type="cellIs" dxfId="16" priority="40" operator="equal">
      <formula>"Hard Case"</formula>
    </cfRule>
  </conditionalFormatting>
  <conditionalFormatting sqref="HT5">
    <cfRule type="colorScale" priority="7">
      <colorScale>
        <cfvo type="num" val="0"/>
        <cfvo type="num" val="500"/>
        <color rgb="FFFFFF00"/>
        <color rgb="FFFFFF00"/>
      </colorScale>
    </cfRule>
  </conditionalFormatting>
  <conditionalFormatting sqref="HU7:IB18">
    <cfRule type="cellIs" dxfId="15" priority="34" operator="equal">
      <formula>1</formula>
    </cfRule>
  </conditionalFormatting>
  <conditionalFormatting sqref="HV7:HV18">
    <cfRule type="cellIs" dxfId="14" priority="37" operator="equal">
      <formula>"Hard Case"</formula>
    </cfRule>
  </conditionalFormatting>
  <conditionalFormatting sqref="IF5">
    <cfRule type="colorScale" priority="8">
      <colorScale>
        <cfvo type="num" val="0"/>
        <cfvo type="num" val="500"/>
        <color rgb="FFFFFF00"/>
        <color rgb="FFFFFF00"/>
      </colorScale>
    </cfRule>
  </conditionalFormatting>
  <conditionalFormatting sqref="IG7:IN20">
    <cfRule type="cellIs" dxfId="13" priority="35" operator="equal">
      <formula>1</formula>
    </cfRule>
  </conditionalFormatting>
  <conditionalFormatting sqref="IH7:IH20">
    <cfRule type="cellIs" dxfId="12" priority="36" operator="equal">
      <formula>"Hard Case"</formula>
    </cfRule>
  </conditionalFormatting>
  <conditionalFormatting sqref="IR5">
    <cfRule type="colorScale" priority="3">
      <colorScale>
        <cfvo type="num" val="0"/>
        <cfvo type="num" val="500"/>
        <color rgb="FFFFFF00"/>
        <color rgb="FFFFFF00"/>
      </colorScale>
    </cfRule>
  </conditionalFormatting>
  <conditionalFormatting sqref="IS7:IZ14">
    <cfRule type="cellIs" dxfId="11" priority="31" operator="equal">
      <formula>1</formula>
    </cfRule>
  </conditionalFormatting>
  <conditionalFormatting sqref="IT7:IT14">
    <cfRule type="cellIs" dxfId="10" priority="33" operator="equal">
      <formula>"Hard Case"</formula>
    </cfRule>
  </conditionalFormatting>
  <conditionalFormatting sqref="JD5">
    <cfRule type="colorScale" priority="4">
      <colorScale>
        <cfvo type="num" val="0"/>
        <cfvo type="num" val="500"/>
        <color rgb="FFFFFF00"/>
        <color rgb="FFFFFF00"/>
      </colorScale>
    </cfRule>
  </conditionalFormatting>
  <conditionalFormatting sqref="JE7:JL30">
    <cfRule type="cellIs" dxfId="9" priority="30" operator="equal">
      <formula>1</formula>
    </cfRule>
  </conditionalFormatting>
  <conditionalFormatting sqref="JF7:JF30">
    <cfRule type="cellIs" dxfId="8" priority="32" operator="equal">
      <formula>"Hard Case"</formula>
    </cfRule>
  </conditionalFormatting>
  <conditionalFormatting sqref="JN8 DE10:DH10 DI10:DL31 JN13 EG21:EJ31">
    <cfRule type="cellIs" dxfId="7" priority="80" operator="equal">
      <formula>1</formula>
    </cfRule>
  </conditionalFormatting>
  <conditionalFormatting sqref="JP5">
    <cfRule type="colorScale" priority="5">
      <colorScale>
        <cfvo type="num" val="0"/>
        <cfvo type="num" val="500"/>
        <color rgb="FFFFFF00"/>
        <color rgb="FFFFFF00"/>
      </colorScale>
    </cfRule>
  </conditionalFormatting>
  <conditionalFormatting sqref="JQ7:JX20">
    <cfRule type="cellIs" dxfId="6" priority="26" operator="equal">
      <formula>1</formula>
    </cfRule>
  </conditionalFormatting>
  <conditionalFormatting sqref="JR7:JR20">
    <cfRule type="cellIs" dxfId="5" priority="29" operator="equal">
      <formula>"Hard Case"</formula>
    </cfRule>
  </conditionalFormatting>
  <conditionalFormatting sqref="KB5">
    <cfRule type="colorScale" priority="2">
      <colorScale>
        <cfvo type="num" val="0"/>
        <cfvo type="num" val="500"/>
        <color rgb="FFFFFF00"/>
        <color rgb="FFFFFF00"/>
      </colorScale>
    </cfRule>
  </conditionalFormatting>
  <conditionalFormatting sqref="KC7:KJ18">
    <cfRule type="cellIs" dxfId="4" priority="27" operator="equal">
      <formula>1</formula>
    </cfRule>
  </conditionalFormatting>
  <conditionalFormatting sqref="KD7:KD18">
    <cfRule type="cellIs" dxfId="3" priority="28" operator="equal">
      <formula>"Hard Case"</formula>
    </cfRule>
  </conditionalFormatting>
  <conditionalFormatting sqref="KN1:KO4">
    <cfRule type="containsText" dxfId="2" priority="88" operator="containsText" text="Complete Set">
      <formula>NOT(ISERROR(SEARCH("Complete Set",KN1)))</formula>
    </cfRule>
  </conditionalFormatting>
  <conditionalFormatting sqref="KO7:KO8">
    <cfRule type="cellIs" dxfId="1" priority="92" operator="equal">
      <formula>1</formula>
    </cfRule>
  </conditionalFormatting>
  <conditionalFormatting sqref="KQ1:KR4">
    <cfRule type="containsText" dxfId="0" priority="89" operator="containsText" text="Complete Set">
      <formula>NOT(ISERROR(SEARCH("Complete Set",KQ1)))</formula>
    </cfRule>
  </conditionalFormatting>
  <conditionalFormatting sqref="KT5 KN5">
    <cfRule type="colorScale" priority="90">
      <colorScale>
        <cfvo type="num" val="0"/>
        <cfvo type="num" val="500"/>
        <color rgb="FFFFFF00"/>
        <color rgb="FFFFFF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304C47-A6CC-43D5-967B-1390D34DCE9A}">
          <x14:formula1>
            <xm:f>DropDown!$B$2:$B$65</xm:f>
          </x14:formula1>
          <xm:sqref>JJ7:JJ30 G7:G9 R7:R8 AD7:AD16 AP7:AP12 BB7:BB16 BN7:BN23 BZ7:BZ8 CX7 CL7:CL8 DJ7:DJ9 DV7:DV17 EH7:EH19 FF7:FF8 ET7:ET15 GD7:GD23 FR7:FR25 GP7:GP13 HB7:HB29 HZ7:HZ18 HN7:HN12 IL7:IL20 IX7:IX14 KH7:KH18 JV7:JV20</xm:sqref>
        </x14:dataValidation>
        <x14:dataValidation type="list" allowBlank="1" showInputMessage="1" showErrorMessage="1" xr:uid="{65BA8D6E-A45E-4CF2-AA6A-2C661C5A95B5}">
          <x14:formula1>
            <xm:f>DropDown!$E$3:$E$4</xm:f>
          </x14:formula1>
          <xm:sqref>C7:C9 N7:N8 Z7:Z16 AL7:AL12 AX7:AX16 BV7:BV8 CH7:CH8 CT7 DF7:DF9 DR7:DR18 ED7:ED19 EP7:EP15 FB7:FB8 FN7:FN25 FZ7:FZ23 GL7:GL13 GX7:GX29 HJ7:HJ12 HV7:HV18 IH7:IH20 IT7:IT14 JF7:JF30 KD7:KD18 JR7:JR20 BJ7:BJ23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ED96-31DB-4373-B02A-5EE4689B6A82}">
  <sheetPr>
    <tabColor theme="1"/>
  </sheetPr>
  <dimension ref="B2:H65"/>
  <sheetViews>
    <sheetView workbookViewId="0">
      <selection activeCell="G16" sqref="G16"/>
    </sheetView>
  </sheetViews>
  <sheetFormatPr baseColWidth="10" defaultColWidth="8.83203125" defaultRowHeight="15"/>
  <cols>
    <col min="2" max="2" width="22.5" style="46" customWidth="1"/>
    <col min="5" max="5" width="22.5" bestFit="1" customWidth="1"/>
    <col min="8" max="8" width="22.5" bestFit="1" customWidth="1"/>
  </cols>
  <sheetData>
    <row r="2" spans="2:8" ht="23">
      <c r="B2" s="44" t="s">
        <v>38</v>
      </c>
    </row>
    <row r="3" spans="2:8" ht="24">
      <c r="B3" s="45" t="s">
        <v>293</v>
      </c>
      <c r="E3" s="45" t="s">
        <v>41</v>
      </c>
      <c r="H3" s="45" t="s">
        <v>294</v>
      </c>
    </row>
    <row r="4" spans="2:8" ht="24">
      <c r="B4" s="45" t="s">
        <v>295</v>
      </c>
      <c r="E4" s="45" t="s">
        <v>35</v>
      </c>
      <c r="H4" s="45" t="s">
        <v>296</v>
      </c>
    </row>
    <row r="5" spans="2:8" ht="24">
      <c r="B5" s="45" t="s">
        <v>297</v>
      </c>
      <c r="H5" s="45" t="s">
        <v>298</v>
      </c>
    </row>
    <row r="6" spans="2:8" ht="24">
      <c r="B6" s="45" t="s">
        <v>299</v>
      </c>
      <c r="H6" s="45" t="s">
        <v>300</v>
      </c>
    </row>
    <row r="7" spans="2:8" ht="24">
      <c r="B7" s="45" t="s">
        <v>301</v>
      </c>
      <c r="H7" s="45" t="s">
        <v>302</v>
      </c>
    </row>
    <row r="8" spans="2:8" ht="24">
      <c r="B8" s="45" t="s">
        <v>303</v>
      </c>
      <c r="H8" s="45" t="s">
        <v>304</v>
      </c>
    </row>
    <row r="9" spans="2:8" ht="24">
      <c r="B9" s="45" t="s">
        <v>305</v>
      </c>
      <c r="H9" s="45" t="s">
        <v>306</v>
      </c>
    </row>
    <row r="10" spans="2:8" ht="24">
      <c r="B10" s="45" t="s">
        <v>307</v>
      </c>
      <c r="H10" s="45"/>
    </row>
    <row r="11" spans="2:8" ht="24">
      <c r="B11" s="45" t="s">
        <v>308</v>
      </c>
      <c r="H11" s="45"/>
    </row>
    <row r="12" spans="2:8" ht="24">
      <c r="B12" s="45" t="s">
        <v>309</v>
      </c>
      <c r="H12" s="45"/>
    </row>
    <row r="13" spans="2:8" ht="24">
      <c r="B13" s="45" t="s">
        <v>310</v>
      </c>
      <c r="H13" s="45"/>
    </row>
    <row r="14" spans="2:8" ht="24">
      <c r="B14" s="45" t="s">
        <v>311</v>
      </c>
      <c r="H14" s="45"/>
    </row>
    <row r="15" spans="2:8" ht="24">
      <c r="B15" s="45" t="s">
        <v>312</v>
      </c>
    </row>
    <row r="16" spans="2:8" ht="24">
      <c r="B16" s="45" t="s">
        <v>313</v>
      </c>
    </row>
    <row r="17" spans="2:2" ht="24">
      <c r="B17" s="45" t="s">
        <v>314</v>
      </c>
    </row>
    <row r="18" spans="2:2" ht="24">
      <c r="B18" s="45" t="s">
        <v>315</v>
      </c>
    </row>
    <row r="19" spans="2:2" ht="24">
      <c r="B19" s="45" t="s">
        <v>316</v>
      </c>
    </row>
    <row r="20" spans="2:2" ht="24">
      <c r="B20" s="45" t="s">
        <v>317</v>
      </c>
    </row>
    <row r="21" spans="2:2" ht="24">
      <c r="B21" s="45" t="s">
        <v>318</v>
      </c>
    </row>
    <row r="22" spans="2:2" ht="24">
      <c r="B22" s="45" t="s">
        <v>319</v>
      </c>
    </row>
    <row r="23" spans="2:2" ht="24">
      <c r="B23" s="45" t="s">
        <v>289</v>
      </c>
    </row>
    <row r="24" spans="2:2" ht="24">
      <c r="B24" s="45" t="s">
        <v>320</v>
      </c>
    </row>
    <row r="25" spans="2:2" ht="24">
      <c r="B25" s="45" t="s">
        <v>55</v>
      </c>
    </row>
    <row r="26" spans="2:2" ht="24">
      <c r="B26" s="45" t="s">
        <v>321</v>
      </c>
    </row>
    <row r="27" spans="2:2" ht="24">
      <c r="B27" s="45" t="s">
        <v>322</v>
      </c>
    </row>
    <row r="28" spans="2:2" ht="24">
      <c r="B28" s="45" t="s">
        <v>323</v>
      </c>
    </row>
    <row r="29" spans="2:2" ht="24">
      <c r="B29" s="45" t="s">
        <v>324</v>
      </c>
    </row>
    <row r="30" spans="2:2" ht="24">
      <c r="B30" s="45" t="s">
        <v>325</v>
      </c>
    </row>
    <row r="31" spans="2:2" ht="24">
      <c r="B31" s="45" t="s">
        <v>326</v>
      </c>
    </row>
    <row r="32" spans="2:2" ht="24">
      <c r="B32" s="45" t="s">
        <v>327</v>
      </c>
    </row>
    <row r="33" spans="2:2" ht="24">
      <c r="B33" s="45" t="s">
        <v>328</v>
      </c>
    </row>
    <row r="34" spans="2:2" ht="24">
      <c r="B34" s="45" t="s">
        <v>329</v>
      </c>
    </row>
    <row r="35" spans="2:2" ht="24">
      <c r="B35" s="45" t="s">
        <v>330</v>
      </c>
    </row>
    <row r="36" spans="2:2" ht="24">
      <c r="B36" s="45" t="s">
        <v>331</v>
      </c>
    </row>
    <row r="37" spans="2:2" ht="24">
      <c r="B37" s="45" t="s">
        <v>332</v>
      </c>
    </row>
    <row r="38" spans="2:2" ht="24">
      <c r="B38" s="45" t="s">
        <v>333</v>
      </c>
    </row>
    <row r="39" spans="2:2" ht="24">
      <c r="B39" s="45" t="s">
        <v>334</v>
      </c>
    </row>
    <row r="40" spans="2:2" ht="24">
      <c r="B40" s="45" t="s">
        <v>335</v>
      </c>
    </row>
    <row r="41" spans="2:2" ht="24">
      <c r="B41" s="45" t="s">
        <v>336</v>
      </c>
    </row>
    <row r="42" spans="2:2" ht="24">
      <c r="B42" s="45" t="s">
        <v>337</v>
      </c>
    </row>
    <row r="43" spans="2:2" ht="24">
      <c r="B43" s="45" t="s">
        <v>338</v>
      </c>
    </row>
    <row r="44" spans="2:2" ht="24">
      <c r="B44" s="45" t="s">
        <v>339</v>
      </c>
    </row>
    <row r="45" spans="2:2" ht="24">
      <c r="B45" s="45" t="s">
        <v>340</v>
      </c>
    </row>
    <row r="46" spans="2:2" ht="24">
      <c r="B46" s="45" t="s">
        <v>341</v>
      </c>
    </row>
    <row r="47" spans="2:2" ht="24">
      <c r="B47" s="45" t="s">
        <v>342</v>
      </c>
    </row>
    <row r="48" spans="2:2" ht="24">
      <c r="B48" s="45" t="s">
        <v>343</v>
      </c>
    </row>
    <row r="49" spans="2:2" ht="24">
      <c r="B49" s="45" t="s">
        <v>344</v>
      </c>
    </row>
    <row r="50" spans="2:2" ht="24">
      <c r="B50" s="45" t="s">
        <v>345</v>
      </c>
    </row>
    <row r="51" spans="2:2" ht="24">
      <c r="B51" s="45" t="s">
        <v>346</v>
      </c>
    </row>
    <row r="52" spans="2:2" ht="24">
      <c r="B52" s="45" t="s">
        <v>347</v>
      </c>
    </row>
    <row r="53" spans="2:2" ht="24">
      <c r="B53" s="45" t="s">
        <v>348</v>
      </c>
    </row>
    <row r="54" spans="2:2" ht="24">
      <c r="B54" s="45" t="s">
        <v>349</v>
      </c>
    </row>
    <row r="55" spans="2:2" ht="24">
      <c r="B55" s="45" t="s">
        <v>350</v>
      </c>
    </row>
    <row r="56" spans="2:2" ht="24">
      <c r="B56" s="45" t="s">
        <v>351</v>
      </c>
    </row>
    <row r="57" spans="2:2" ht="24">
      <c r="B57" s="45" t="s">
        <v>352</v>
      </c>
    </row>
    <row r="58" spans="2:2" ht="24">
      <c r="B58" s="45" t="s">
        <v>353</v>
      </c>
    </row>
    <row r="59" spans="2:2" ht="24">
      <c r="B59" s="45" t="s">
        <v>354</v>
      </c>
    </row>
    <row r="60" spans="2:2" ht="24">
      <c r="B60" s="45" t="s">
        <v>355</v>
      </c>
    </row>
    <row r="61" spans="2:2" ht="24">
      <c r="B61" s="45" t="s">
        <v>356</v>
      </c>
    </row>
    <row r="62" spans="2:2" ht="24">
      <c r="B62" s="45" t="s">
        <v>357</v>
      </c>
    </row>
    <row r="63" spans="2:2" ht="24">
      <c r="B63" s="45" t="s">
        <v>358</v>
      </c>
    </row>
    <row r="64" spans="2:2" ht="24">
      <c r="B64" s="45" t="s">
        <v>359</v>
      </c>
    </row>
    <row r="65" spans="2:2" ht="24">
      <c r="B65" s="45" t="s">
        <v>360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d3885c-1f56-40e3-8399-6e8073bd5146}" enabled="1" method="Privileged" siteId="{ea80952e-a476-42d4-aaf4-5457852b0f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Topps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Schleder, Duane</dc:creator>
  <cp:lastModifiedBy>Schleder, Duane</cp:lastModifiedBy>
  <dcterms:created xsi:type="dcterms:W3CDTF">2025-04-17T17:08:02Z</dcterms:created>
  <dcterms:modified xsi:type="dcterms:W3CDTF">2025-04-17T18:26:46Z</dcterms:modified>
</cp:coreProperties>
</file>